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1" activeTab="3"/>
  </bookViews>
  <sheets>
    <sheet name="Sheet1" sheetId="1" r:id="rId1"/>
    <sheet name="(1) technical parameters" sheetId="2" r:id="rId2"/>
    <sheet name="(2) Unit Cost" sheetId="3" r:id="rId3"/>
    <sheet name="(3) Flock projection" sheetId="4" r:id="rId4"/>
    <sheet name="(4) Economics" sheetId="5" r:id="rId5"/>
    <sheet name="(5)repayment schedule" sheetId="6" r:id="rId6"/>
    <sheet name="IRR" sheetId="7" r:id="rId7"/>
  </sheets>
  <definedNames>
    <definedName name="_xlnm.Print_Area" localSheetId="1">'(1) technical parameters'!$A$1:$C$48</definedName>
  </definedNames>
  <calcPr fullCalcOnLoad="1"/>
</workbook>
</file>

<file path=xl/sharedStrings.xml><?xml version="1.0" encoding="utf-8"?>
<sst xmlns="http://schemas.openxmlformats.org/spreadsheetml/2006/main" count="264" uniqueCount="193">
  <si>
    <t>sq. ft</t>
  </si>
  <si>
    <t>per sq. ft</t>
  </si>
  <si>
    <t>I</t>
  </si>
  <si>
    <t>II</t>
  </si>
  <si>
    <t>III</t>
  </si>
  <si>
    <t>IV</t>
  </si>
  <si>
    <t>V</t>
  </si>
  <si>
    <t>VI</t>
  </si>
  <si>
    <t>a)</t>
  </si>
  <si>
    <t>b)</t>
  </si>
  <si>
    <t>c)</t>
  </si>
  <si>
    <t>Insurance</t>
  </si>
  <si>
    <t>d)</t>
  </si>
  <si>
    <t>e)</t>
  </si>
  <si>
    <t>nos.</t>
  </si>
  <si>
    <t>Sale of manure</t>
  </si>
  <si>
    <t>Sale of gunny bags</t>
  </si>
  <si>
    <t>per month</t>
  </si>
  <si>
    <t>Year</t>
  </si>
  <si>
    <t>Years</t>
  </si>
  <si>
    <t>nos</t>
  </si>
  <si>
    <t>per acre</t>
  </si>
  <si>
    <t>Total income</t>
  </si>
  <si>
    <t xml:space="preserve">Items </t>
  </si>
  <si>
    <t>No. of Bucks</t>
  </si>
  <si>
    <t xml:space="preserve">Particulars </t>
  </si>
  <si>
    <t>Shed for Does</t>
  </si>
  <si>
    <t>Nos.</t>
  </si>
  <si>
    <t>No. of Does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</si>
  <si>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</si>
  <si>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</si>
  <si>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</si>
  <si>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</si>
  <si>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</si>
  <si>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</si>
  <si>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>Shed for Bucks</t>
  </si>
  <si>
    <t>A.</t>
  </si>
  <si>
    <t>Production Traits</t>
  </si>
  <si>
    <t>Shed for kids</t>
  </si>
  <si>
    <t>Age at Maturity (Months)</t>
  </si>
  <si>
    <t>Kidding interval (Months)</t>
  </si>
  <si>
    <t>Kidding percentage</t>
  </si>
  <si>
    <t>Twinning percentage</t>
  </si>
  <si>
    <t>Feed cost</t>
  </si>
  <si>
    <t>per goat</t>
  </si>
  <si>
    <t>No. of kiddings per year</t>
  </si>
  <si>
    <t>Bucks</t>
  </si>
  <si>
    <t>Sex ratio</t>
  </si>
  <si>
    <t>Does</t>
  </si>
  <si>
    <t>per does</t>
  </si>
  <si>
    <t>Mortality(%) Adults</t>
  </si>
  <si>
    <t>Kids</t>
  </si>
  <si>
    <t>Buck</t>
  </si>
  <si>
    <t>per buck</t>
  </si>
  <si>
    <t>Medicines/Vet. charges</t>
  </si>
  <si>
    <t>Saleable age of kids (months)</t>
  </si>
  <si>
    <t>Culling of does (% per year) from second year onwards</t>
  </si>
  <si>
    <t>B.</t>
  </si>
  <si>
    <t>Expenditure norms</t>
  </si>
  <si>
    <t>f)</t>
  </si>
  <si>
    <t>Labour wages</t>
  </si>
  <si>
    <t>Space requirement (st.per head)</t>
  </si>
  <si>
    <t>Veterinary aid</t>
  </si>
  <si>
    <t>Doe</t>
  </si>
  <si>
    <t>Fodder cultivation</t>
  </si>
  <si>
    <t>acres</t>
  </si>
  <si>
    <t>Sale of animals</t>
  </si>
  <si>
    <t>Supplementary</t>
  </si>
  <si>
    <t>Cost of construction (Rs.per sft)</t>
  </si>
  <si>
    <t>Sale of adult Buck</t>
  </si>
  <si>
    <t>kg / month</t>
  </si>
  <si>
    <t>Cost of equipment (Rs.per adult animal)</t>
  </si>
  <si>
    <t>Sale of adult Doe</t>
  </si>
  <si>
    <t>b) No. of acres</t>
  </si>
  <si>
    <t>6.75 kg per month</t>
  </si>
  <si>
    <t>no.</t>
  </si>
  <si>
    <t>7.5 kg per month</t>
  </si>
  <si>
    <t>3.75 kg per kid</t>
  </si>
  <si>
    <t>Total Cost</t>
  </si>
  <si>
    <t>Cost of conc. Feed (Rs./kg)</t>
  </si>
  <si>
    <t>Labour (No.)</t>
  </si>
  <si>
    <t>Insurance (as percentage of the cost of breeding stock)</t>
  </si>
  <si>
    <t>Veterinary aid (Rs./adult/year)</t>
  </si>
  <si>
    <t>Water, electricity and other misc. expenses (Rs./adult)</t>
  </si>
  <si>
    <t>C.</t>
  </si>
  <si>
    <t>Income norms :</t>
  </si>
  <si>
    <t>Income from manure is not assumed as it is used on the own farm</t>
  </si>
  <si>
    <t>Sale of Gunnyu bags (Rs./bag) (13.3 bags / tonne)</t>
  </si>
  <si>
    <t>D.</t>
  </si>
  <si>
    <t>Repayment norms:</t>
  </si>
  <si>
    <t>Repayment period (years)</t>
  </si>
  <si>
    <t>Grace Period (years)</t>
  </si>
  <si>
    <t>Interest rate(%)</t>
  </si>
  <si>
    <t>Green fodder cultivation cost</t>
  </si>
  <si>
    <t>per day</t>
  </si>
  <si>
    <t>Sl. No.</t>
  </si>
  <si>
    <t>Particulars</t>
  </si>
  <si>
    <t>Kidding Nos.</t>
  </si>
  <si>
    <t>Opening Stock - Adult Bucks</t>
  </si>
  <si>
    <t>Adult Doe purchased stock</t>
  </si>
  <si>
    <t>Birth during the year</t>
  </si>
  <si>
    <t>Male Kids</t>
  </si>
  <si>
    <t>Female Kids</t>
  </si>
  <si>
    <t>Mortality</t>
  </si>
  <si>
    <t>Sale during the year</t>
  </si>
  <si>
    <t>days</t>
  </si>
  <si>
    <t>Labour wages (Rs.per day)</t>
  </si>
  <si>
    <t>ECONOMICS OF GOAT FARMING</t>
  </si>
  <si>
    <t>S.N.</t>
  </si>
  <si>
    <t>REPAYMENT SCHEDULE</t>
  </si>
  <si>
    <t>TECHNICAL PARAMETERS</t>
  </si>
  <si>
    <t>FLOCK PROJECTION CHART</t>
  </si>
  <si>
    <t>Benefit</t>
  </si>
  <si>
    <t>IRR</t>
  </si>
  <si>
    <t>Cost</t>
  </si>
  <si>
    <t>DF (30%)</t>
  </si>
  <si>
    <t>DF (20%)</t>
  </si>
  <si>
    <t>Net Discounted Benefit (20%)</t>
  </si>
  <si>
    <t>Net Discounted Benefit (30%)</t>
  </si>
  <si>
    <t>Sale of Male Kids</t>
  </si>
  <si>
    <t>Sale of Female Kids</t>
  </si>
  <si>
    <t>LS</t>
  </si>
  <si>
    <t>Present Value of Cost (15%)</t>
  </si>
  <si>
    <t>Present Value of Benefit (15%)</t>
  </si>
  <si>
    <t>HRD</t>
  </si>
  <si>
    <t>LRD</t>
  </si>
  <si>
    <t>Income</t>
  </si>
  <si>
    <t>Project Cost</t>
  </si>
  <si>
    <t>Cash flow</t>
  </si>
  <si>
    <t>Net Cash flow</t>
  </si>
  <si>
    <t>Discount Factor (15%)</t>
  </si>
  <si>
    <t>Discounted Income</t>
  </si>
  <si>
    <t>Discounted Cost</t>
  </si>
  <si>
    <t>Discounted Cash Flow</t>
  </si>
  <si>
    <t>Discounted Factor at HRD</t>
  </si>
  <si>
    <t>Discounted cash flow at HRD</t>
  </si>
  <si>
    <t>Discounted Factor at LRD</t>
  </si>
  <si>
    <t>Discounted cash flow at LRD</t>
  </si>
  <si>
    <t>Total</t>
  </si>
  <si>
    <t>Bank Interest Rate (BIR)</t>
  </si>
  <si>
    <t>Higher Rate of Discounting (HRD)</t>
  </si>
  <si>
    <t>Lower Rate of Discounting (LRD)</t>
  </si>
  <si>
    <t>Internal Rate of Return (IRR)</t>
  </si>
  <si>
    <t>Gross Profit</t>
  </si>
  <si>
    <t>Expenditure</t>
  </si>
  <si>
    <t>Total Expenditure</t>
  </si>
  <si>
    <t>Principal Outstanding</t>
  </si>
  <si>
    <t>Principal Repayment</t>
  </si>
  <si>
    <t>Total Repayment</t>
  </si>
  <si>
    <t>Interest due</t>
  </si>
  <si>
    <t>Net Profit</t>
  </si>
  <si>
    <t>Debt Service Coverage Ratio (DSCR)</t>
  </si>
  <si>
    <t>Average DSCR</t>
  </si>
  <si>
    <t>Recuring cost net capitalized</t>
  </si>
  <si>
    <t>CIVIL CONSTRUCTION</t>
  </si>
  <si>
    <t>Amount</t>
  </si>
  <si>
    <t>Rate</t>
  </si>
  <si>
    <t>Office-cum-Store</t>
  </si>
  <si>
    <t>WATER SUPPLY</t>
  </si>
  <si>
    <t>Dugwell / Tube well</t>
  </si>
  <si>
    <t>EQUIPMENT AND MACHINERY</t>
  </si>
  <si>
    <t>Chaff cutter</t>
  </si>
  <si>
    <t>COST OF ANIMALS</t>
  </si>
  <si>
    <t>E.</t>
  </si>
  <si>
    <t>INSURANCE</t>
  </si>
  <si>
    <t>CAPITAL COST</t>
  </si>
  <si>
    <t>RECURRING EXPENDITURE</t>
  </si>
  <si>
    <t>F.</t>
  </si>
  <si>
    <t>OTHERS</t>
  </si>
  <si>
    <t>a.</t>
  </si>
  <si>
    <t>b.</t>
  </si>
  <si>
    <t>c.</t>
  </si>
  <si>
    <t>Margin Money @25% of total cost</t>
  </si>
  <si>
    <t>Bank loan @75% of total cost</t>
  </si>
  <si>
    <t>10-12 months</t>
  </si>
  <si>
    <t>08 - 09 months</t>
  </si>
  <si>
    <t>Cost of Animal</t>
  </si>
  <si>
    <t>a) Buck</t>
  </si>
  <si>
    <t>b) Does</t>
  </si>
  <si>
    <t>Cost of Feed &amp; Fodder</t>
  </si>
  <si>
    <t>Concentrate feed</t>
  </si>
  <si>
    <t>a) Cost of green fodder cultivation (Rs./acre)</t>
  </si>
  <si>
    <t>a) Adult does (one month before breeding and one month after kidding i.e. per kidding)</t>
  </si>
  <si>
    <t>b) Bucks (two months per breeding season)</t>
  </si>
  <si>
    <t>c) Kids (for 30 days)</t>
  </si>
  <si>
    <t>Sale of culled does (Rs./doe) @ 20% from third year onwards</t>
  </si>
  <si>
    <t>Sale price of culled Buck (Rs./buck) @ 25% from third year onwards</t>
  </si>
  <si>
    <t>Sale price of Mail kids (Rs./kid)</t>
  </si>
  <si>
    <t>Sale price of Female Kids (Rs./kid)</t>
  </si>
  <si>
    <t>Misc.(Electricity charges etc.)</t>
  </si>
  <si>
    <t>Internal Rate of Return</t>
  </si>
  <si>
    <t>100 DOES + 04 BUCKS</t>
  </si>
  <si>
    <t>PROJECT REPORT FOR GOAT FARM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</si>
</sst>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38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1" fontId="1" fillId="0" borderId="0" xfId="42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3" fillId="33" borderId="10" xfId="42" applyNumberFormat="1" applyFon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6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8" fontId="2" fillId="33" borderId="10" xfId="42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1" fontId="0" fillId="0" borderId="10" xfId="42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178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178" fontId="12" fillId="33" borderId="10" xfId="42" applyNumberFormat="1" applyFont="1" applyFill="1" applyBorder="1" applyAlignment="1">
      <alignment vertical="center"/>
    </xf>
    <xf numFmtId="178" fontId="13" fillId="33" borderId="10" xfId="42" applyNumberFormat="1" applyFont="1" applyFill="1" applyBorder="1" applyAlignment="1">
      <alignment horizontal="center" vertical="center"/>
    </xf>
    <xf numFmtId="171" fontId="12" fillId="33" borderId="10" xfId="0" applyNumberFormat="1" applyFont="1" applyFill="1" applyBorder="1" applyAlignment="1">
      <alignment vertical="center"/>
    </xf>
    <xf numFmtId="178" fontId="12" fillId="33" borderId="10" xfId="42" applyNumberFormat="1" applyFont="1" applyFill="1" applyBorder="1" applyAlignment="1">
      <alignment horizontal="center" vertical="center"/>
    </xf>
    <xf numFmtId="171" fontId="12" fillId="33" borderId="10" xfId="0" applyNumberFormat="1" applyFont="1" applyFill="1" applyBorder="1" applyAlignment="1">
      <alignment horizontal="center" vertical="center"/>
    </xf>
    <xf numFmtId="9" fontId="12" fillId="33" borderId="10" xfId="57" applyFont="1" applyFill="1" applyBorder="1" applyAlignment="1">
      <alignment vertical="center"/>
    </xf>
    <xf numFmtId="171" fontId="1" fillId="0" borderId="10" xfId="0" applyNumberFormat="1" applyFont="1" applyBorder="1" applyAlignment="1">
      <alignment vertical="center"/>
    </xf>
    <xf numFmtId="178" fontId="14" fillId="33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0" xfId="0" applyFont="1" applyBorder="1" applyAlignment="1">
      <alignment vertical="center"/>
    </xf>
    <xf numFmtId="178" fontId="0" fillId="0" borderId="10" xfId="42" applyNumberFormat="1" applyFont="1" applyBorder="1" applyAlignment="1">
      <alignment vertical="center"/>
    </xf>
    <xf numFmtId="171" fontId="0" fillId="0" borderId="10" xfId="42" applyFont="1" applyBorder="1" applyAlignment="1">
      <alignment vertical="center"/>
    </xf>
    <xf numFmtId="171" fontId="8" fillId="0" borderId="10" xfId="0" applyNumberFormat="1" applyFont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171" fontId="12" fillId="33" borderId="0" xfId="42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178" fontId="5" fillId="0" borderId="10" xfId="42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1" fontId="1" fillId="0" borderId="11" xfId="42" applyFont="1" applyBorder="1" applyAlignment="1">
      <alignment vertical="center"/>
    </xf>
    <xf numFmtId="171" fontId="2" fillId="33" borderId="10" xfId="42" applyFont="1" applyFill="1" applyBorder="1" applyAlignment="1">
      <alignment horizontal="center" vertical="center"/>
    </xf>
    <xf numFmtId="171" fontId="3" fillId="33" borderId="10" xfId="42" applyFont="1" applyFill="1" applyBorder="1" applyAlignment="1">
      <alignment vertical="center"/>
    </xf>
    <xf numFmtId="171" fontId="2" fillId="33" borderId="10" xfId="42" applyFont="1" applyFill="1" applyBorder="1" applyAlignment="1">
      <alignment vertical="center"/>
    </xf>
    <xf numFmtId="178" fontId="10" fillId="0" borderId="11" xfId="42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78" fontId="10" fillId="0" borderId="0" xfId="42" applyNumberFormat="1" applyFont="1" applyBorder="1" applyAlignment="1">
      <alignment horizontal="center" vertical="center"/>
    </xf>
    <xf numFmtId="178" fontId="8" fillId="0" borderId="10" xfId="42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11" fillId="0" borderId="10" xfId="42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8" fontId="10" fillId="0" borderId="0" xfId="42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9</xdr:row>
      <xdr:rowOff>0</xdr:rowOff>
    </xdr:from>
    <xdr:to>
      <xdr:col>7</xdr:col>
      <xdr:colOff>600075</xdr:colOff>
      <xdr:row>26</xdr:row>
      <xdr:rowOff>0</xdr:rowOff>
    </xdr:to>
    <xdr:pic>
      <xdr:nvPicPr>
        <xdr:cNvPr id="1" name="Picture 1" descr="goate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00"/>
          <a:ext cx="43053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61">
      <selection activeCell="K6" sqref="K6"/>
    </sheetView>
  </sheetViews>
  <sheetFormatPr defaultColWidth="9.140625" defaultRowHeight="15"/>
  <sheetData>
    <row r="1" spans="1:9" ht="71.25" customHeight="1">
      <c r="A1" s="78" t="s">
        <v>192</v>
      </c>
      <c r="B1" s="78"/>
      <c r="C1" s="78"/>
      <c r="D1" s="78"/>
      <c r="E1" s="78"/>
      <c r="F1" s="78"/>
      <c r="G1" s="78"/>
      <c r="H1" s="78"/>
      <c r="I1" s="78"/>
    </row>
    <row r="2" spans="1:9" ht="29.25" customHeight="1">
      <c r="A2" s="78"/>
      <c r="B2" s="78"/>
      <c r="C2" s="78"/>
      <c r="D2" s="78"/>
      <c r="E2" s="78"/>
      <c r="F2" s="78"/>
      <c r="G2" s="78"/>
      <c r="H2" s="78"/>
      <c r="I2" s="78"/>
    </row>
    <row r="6" spans="1:9" ht="34.5">
      <c r="A6" s="79" t="s">
        <v>191</v>
      </c>
      <c r="B6" s="79"/>
      <c r="C6" s="79"/>
      <c r="D6" s="79"/>
      <c r="E6" s="79"/>
      <c r="F6" s="79"/>
      <c r="G6" s="79"/>
      <c r="H6" s="79"/>
      <c r="I6" s="79"/>
    </row>
  </sheetData>
  <sheetProtection/>
  <mergeCells count="2">
    <mergeCell ref="A1:I2"/>
    <mergeCell ref="A6:I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76">
      <selection activeCell="B22" sqref="B22"/>
    </sheetView>
  </sheetViews>
  <sheetFormatPr defaultColWidth="9.140625" defaultRowHeight="15"/>
  <cols>
    <col min="1" max="1" width="5.421875" style="0" customWidth="1"/>
    <col min="2" max="2" width="68.28125" style="0" bestFit="1" customWidth="1"/>
    <col min="3" max="3" width="15.28125" style="0" bestFit="1" customWidth="1"/>
    <col min="5" max="5" width="28.421875" style="0" customWidth="1"/>
    <col min="6" max="6" width="11.57421875" style="0" bestFit="1" customWidth="1"/>
    <col min="7" max="9" width="13.28125" style="0" bestFit="1" customWidth="1"/>
    <col min="10" max="10" width="11.57421875" style="0" bestFit="1" customWidth="1"/>
    <col min="11" max="11" width="13.28125" style="0" bestFit="1" customWidth="1"/>
    <col min="12" max="12" width="10.57421875" style="0" bestFit="1" customWidth="1"/>
  </cols>
  <sheetData>
    <row r="1" spans="1:12" ht="15" customHeight="1">
      <c r="A1" s="80" t="s">
        <v>110</v>
      </c>
      <c r="B1" s="80"/>
      <c r="C1" s="80"/>
      <c r="E1" s="30">
        <v>1</v>
      </c>
      <c r="F1" s="30">
        <v>1.15</v>
      </c>
      <c r="G1" s="30">
        <v>1</v>
      </c>
      <c r="H1" s="30">
        <v>1.3</v>
      </c>
      <c r="I1" s="30">
        <v>1</v>
      </c>
      <c r="J1" s="30">
        <v>1.35</v>
      </c>
      <c r="K1" s="30"/>
      <c r="L1" s="30"/>
    </row>
    <row r="2" spans="1:12" ht="15" customHeight="1">
      <c r="A2" s="8"/>
      <c r="B2" s="8" t="s">
        <v>24</v>
      </c>
      <c r="C2" s="9">
        <f>C3/25</f>
        <v>4</v>
      </c>
      <c r="E2" s="30"/>
      <c r="F2" s="31">
        <f>E1/F1</f>
        <v>0.8695652173913044</v>
      </c>
      <c r="G2" s="31">
        <f>F2/F1</f>
        <v>0.7561436672967865</v>
      </c>
      <c r="H2" s="31">
        <f>G2/F1</f>
        <v>0.6575162324319883</v>
      </c>
      <c r="I2" s="31">
        <f>H2/F1</f>
        <v>0.5717532455930333</v>
      </c>
      <c r="J2" s="31">
        <f>I2/F1</f>
        <v>0.4971767352982899</v>
      </c>
      <c r="K2" s="31">
        <f>J2/F1</f>
        <v>0.43232759591155645</v>
      </c>
      <c r="L2" s="30"/>
    </row>
    <row r="3" spans="1:12" ht="15" customHeight="1">
      <c r="A3" s="8"/>
      <c r="B3" s="8" t="s">
        <v>28</v>
      </c>
      <c r="C3" s="9">
        <v>100</v>
      </c>
      <c r="E3" s="30" t="s">
        <v>114</v>
      </c>
      <c r="F3" s="32" t="e">
        <f>IRR!#REF!</f>
        <v>#REF!</v>
      </c>
      <c r="G3" s="32" t="e">
        <f>IRR!#REF!</f>
        <v>#REF!</v>
      </c>
      <c r="H3" s="32" t="e">
        <f>IRR!#REF!</f>
        <v>#REF!</v>
      </c>
      <c r="I3" s="32" t="e">
        <f>IRR!#REF!</f>
        <v>#REF!</v>
      </c>
      <c r="J3" s="32" t="e">
        <f>IRR!#REF!</f>
        <v>#REF!</v>
      </c>
      <c r="K3" s="32" t="e">
        <f>IRR!#REF!</f>
        <v>#REF!</v>
      </c>
      <c r="L3" s="30"/>
    </row>
    <row r="4" spans="1:12" ht="15" customHeight="1">
      <c r="A4" s="17" t="s">
        <v>36</v>
      </c>
      <c r="B4" s="17" t="s">
        <v>37</v>
      </c>
      <c r="C4" s="8"/>
      <c r="E4" s="30" t="s">
        <v>122</v>
      </c>
      <c r="F4" s="32" t="e">
        <f aca="true" t="shared" si="0" ref="F4:K4">F3*F2</f>
        <v>#REF!</v>
      </c>
      <c r="G4" s="32" t="e">
        <f t="shared" si="0"/>
        <v>#REF!</v>
      </c>
      <c r="H4" s="32" t="e">
        <f t="shared" si="0"/>
        <v>#REF!</v>
      </c>
      <c r="I4" s="32" t="e">
        <f t="shared" si="0"/>
        <v>#REF!</v>
      </c>
      <c r="J4" s="32" t="e">
        <f t="shared" si="0"/>
        <v>#REF!</v>
      </c>
      <c r="K4" s="32" t="e">
        <f t="shared" si="0"/>
        <v>#REF!</v>
      </c>
      <c r="L4" s="34" t="e">
        <f>SUM(F4:K4)</f>
        <v>#REF!</v>
      </c>
    </row>
    <row r="5" spans="1:12" ht="15" customHeight="1">
      <c r="A5" s="8"/>
      <c r="B5" s="8" t="s">
        <v>39</v>
      </c>
      <c r="C5" s="13" t="s">
        <v>174</v>
      </c>
      <c r="E5" s="30" t="s">
        <v>112</v>
      </c>
      <c r="F5" s="32">
        <f>IRR!AA11</f>
        <v>0.8695652173913044</v>
      </c>
      <c r="G5" s="32">
        <f>IRR!AB22</f>
        <v>0</v>
      </c>
      <c r="H5" s="32">
        <f>IRR!AC22</f>
        <v>0</v>
      </c>
      <c r="I5" s="32">
        <f>IRR!AD22</f>
        <v>0</v>
      </c>
      <c r="J5" s="32">
        <f>IRR!AE22</f>
        <v>0</v>
      </c>
      <c r="K5" s="32">
        <f>IRR!AF22</f>
        <v>0</v>
      </c>
      <c r="L5" s="35"/>
    </row>
    <row r="6" spans="1:12" ht="15" customHeight="1">
      <c r="A6" s="8"/>
      <c r="B6" s="8" t="s">
        <v>40</v>
      </c>
      <c r="C6" s="9">
        <v>8</v>
      </c>
      <c r="E6" s="30" t="s">
        <v>123</v>
      </c>
      <c r="F6" s="32">
        <f aca="true" t="shared" si="1" ref="F6:K6">F5*F2</f>
        <v>0.7561436672967865</v>
      </c>
      <c r="G6" s="32">
        <f t="shared" si="1"/>
        <v>0</v>
      </c>
      <c r="H6" s="32">
        <f t="shared" si="1"/>
        <v>0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4">
        <f>SUM(F6:K6)</f>
        <v>0.7561436672967865</v>
      </c>
    </row>
    <row r="7" spans="1:12" ht="15" customHeight="1">
      <c r="A7" s="8"/>
      <c r="B7" s="8" t="s">
        <v>41</v>
      </c>
      <c r="C7" s="14">
        <v>0.85</v>
      </c>
      <c r="E7" s="30"/>
      <c r="F7" s="30"/>
      <c r="G7" s="30"/>
      <c r="H7" s="30"/>
      <c r="I7" s="30"/>
      <c r="J7" s="30"/>
      <c r="K7" s="30"/>
      <c r="L7" s="30"/>
    </row>
    <row r="8" spans="1:12" ht="15" customHeight="1">
      <c r="A8" s="8"/>
      <c r="B8" s="8" t="s">
        <v>42</v>
      </c>
      <c r="C8" s="14">
        <v>0.6</v>
      </c>
      <c r="E8" s="30"/>
      <c r="F8" s="30"/>
      <c r="G8" s="30"/>
      <c r="H8" s="30"/>
      <c r="I8" s="30"/>
      <c r="J8" s="30"/>
      <c r="K8" s="30"/>
      <c r="L8" s="30"/>
    </row>
    <row r="9" spans="1:12" ht="15" customHeight="1">
      <c r="A9" s="8"/>
      <c r="B9" s="8" t="s">
        <v>45</v>
      </c>
      <c r="C9" s="9">
        <v>1.5</v>
      </c>
      <c r="E9" s="30" t="s">
        <v>116</v>
      </c>
      <c r="F9" s="31">
        <f>G1/H1</f>
        <v>0.7692307692307692</v>
      </c>
      <c r="G9" s="31">
        <f>F9/H1</f>
        <v>0.5917159763313609</v>
      </c>
      <c r="H9" s="31">
        <f>G9/H1</f>
        <v>0.45516613563950836</v>
      </c>
      <c r="I9" s="31">
        <f>H9/H1</f>
        <v>0.35012779664577565</v>
      </c>
      <c r="J9" s="31">
        <f>I9/H1</f>
        <v>0.2693290743429043</v>
      </c>
      <c r="K9" s="31">
        <f>J9/H1</f>
        <v>0.20717621103300332</v>
      </c>
      <c r="L9" s="30"/>
    </row>
    <row r="10" spans="1:12" ht="15" customHeight="1">
      <c r="A10" s="8"/>
      <c r="B10" s="8" t="s">
        <v>47</v>
      </c>
      <c r="C10" s="16">
        <v>0.042361111111111106</v>
      </c>
      <c r="E10" s="30" t="s">
        <v>115</v>
      </c>
      <c r="F10" s="31">
        <f>I1/J1</f>
        <v>0.7407407407407407</v>
      </c>
      <c r="G10" s="31">
        <f>F10/J1</f>
        <v>0.5486968449931412</v>
      </c>
      <c r="H10" s="31">
        <f>G10/J1</f>
        <v>0.4064421074023268</v>
      </c>
      <c r="I10" s="31">
        <f>H10/J1</f>
        <v>0.30106822770542724</v>
      </c>
      <c r="J10" s="31">
        <f>I10/J1</f>
        <v>0.22301350200402018</v>
      </c>
      <c r="K10" s="31">
        <f>J10/J1</f>
        <v>0.16519518666964456</v>
      </c>
      <c r="L10" s="30"/>
    </row>
    <row r="11" spans="1:12" ht="15" customHeight="1">
      <c r="A11" s="8"/>
      <c r="B11" s="8" t="s">
        <v>50</v>
      </c>
      <c r="C11" s="14">
        <v>0.05</v>
      </c>
      <c r="E11" s="30"/>
      <c r="F11" s="30"/>
      <c r="G11" s="30"/>
      <c r="H11" s="30"/>
      <c r="I11" s="30"/>
      <c r="J11" s="30"/>
      <c r="K11" s="30"/>
      <c r="L11" s="30"/>
    </row>
    <row r="12" spans="1:12" ht="15" customHeight="1">
      <c r="A12" s="8"/>
      <c r="B12" s="8" t="s">
        <v>51</v>
      </c>
      <c r="C12" s="14">
        <v>0.1</v>
      </c>
      <c r="E12" s="30" t="s">
        <v>117</v>
      </c>
      <c r="F12" s="32">
        <f aca="true" t="shared" si="2" ref="F12:K12">F5*F9</f>
        <v>0.6688963210702341</v>
      </c>
      <c r="G12" s="32">
        <f t="shared" si="2"/>
        <v>0</v>
      </c>
      <c r="H12" s="32">
        <f t="shared" si="2"/>
        <v>0</v>
      </c>
      <c r="I12" s="32">
        <f t="shared" si="2"/>
        <v>0</v>
      </c>
      <c r="J12" s="32">
        <f t="shared" si="2"/>
        <v>0</v>
      </c>
      <c r="K12" s="32">
        <f t="shared" si="2"/>
        <v>0</v>
      </c>
      <c r="L12" s="33">
        <f>SUM(F12:K12)</f>
        <v>0.6688963210702341</v>
      </c>
    </row>
    <row r="13" spans="1:12" ht="15" customHeight="1">
      <c r="A13" s="8"/>
      <c r="B13" s="8" t="s">
        <v>55</v>
      </c>
      <c r="C13" s="13" t="s">
        <v>175</v>
      </c>
      <c r="E13" s="30" t="s">
        <v>118</v>
      </c>
      <c r="F13" s="32">
        <f aca="true" t="shared" si="3" ref="F13:K13">F5*F10</f>
        <v>0.644122383252818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3">
        <f>SUM(F13:K13)</f>
        <v>0.644122383252818</v>
      </c>
    </row>
    <row r="14" spans="1:3" ht="15" customHeight="1">
      <c r="A14" s="8"/>
      <c r="B14" s="8" t="s">
        <v>56</v>
      </c>
      <c r="C14" s="9">
        <v>20</v>
      </c>
    </row>
    <row r="15" spans="1:6" ht="15" customHeight="1">
      <c r="A15" s="17" t="s">
        <v>57</v>
      </c>
      <c r="B15" s="17" t="s">
        <v>58</v>
      </c>
      <c r="C15" s="8"/>
      <c r="E15" t="s">
        <v>113</v>
      </c>
      <c r="F15" s="36">
        <f>(F18+(L12/(L12-L13))*(F18-F19))</f>
        <v>0</v>
      </c>
    </row>
    <row r="16" spans="1:3" ht="15" customHeight="1">
      <c r="A16" s="8"/>
      <c r="B16" s="8" t="s">
        <v>61</v>
      </c>
      <c r="C16" s="9"/>
    </row>
    <row r="17" spans="1:3" ht="15" customHeight="1">
      <c r="A17" s="8"/>
      <c r="B17" s="8" t="s">
        <v>52</v>
      </c>
      <c r="C17" s="9">
        <v>20</v>
      </c>
    </row>
    <row r="18" spans="1:5" ht="15" customHeight="1">
      <c r="A18" s="8"/>
      <c r="B18" s="8" t="s">
        <v>63</v>
      </c>
      <c r="C18" s="9">
        <v>10</v>
      </c>
      <c r="E18" t="s">
        <v>124</v>
      </c>
    </row>
    <row r="19" spans="1:5" ht="15" customHeight="1">
      <c r="A19" s="8"/>
      <c r="B19" s="8" t="s">
        <v>51</v>
      </c>
      <c r="C19" s="21">
        <v>5</v>
      </c>
      <c r="E19" t="s">
        <v>125</v>
      </c>
    </row>
    <row r="20" spans="1:3" ht="15" customHeight="1">
      <c r="A20" s="8"/>
      <c r="B20" s="8" t="s">
        <v>68</v>
      </c>
      <c r="C20" s="9">
        <v>200</v>
      </c>
    </row>
    <row r="21" spans="1:3" ht="15" customHeight="1">
      <c r="A21" s="8"/>
      <c r="B21" s="8" t="s">
        <v>71</v>
      </c>
      <c r="C21" s="9">
        <v>30</v>
      </c>
    </row>
    <row r="22" spans="1:3" ht="15" customHeight="1">
      <c r="A22" s="17" t="s">
        <v>84</v>
      </c>
      <c r="B22" s="17" t="s">
        <v>176</v>
      </c>
      <c r="C22" s="9"/>
    </row>
    <row r="23" spans="1:3" ht="15" customHeight="1">
      <c r="A23" s="8"/>
      <c r="B23" s="8" t="s">
        <v>177</v>
      </c>
      <c r="C23" s="9">
        <v>5000</v>
      </c>
    </row>
    <row r="24" spans="1:3" ht="15" customHeight="1">
      <c r="A24" s="8"/>
      <c r="B24" s="8" t="s">
        <v>178</v>
      </c>
      <c r="C24" s="9">
        <v>4000</v>
      </c>
    </row>
    <row r="25" spans="1:3" ht="15" customHeight="1">
      <c r="A25" s="17" t="s">
        <v>88</v>
      </c>
      <c r="B25" s="17" t="s">
        <v>179</v>
      </c>
      <c r="C25" s="9"/>
    </row>
    <row r="26" spans="1:3" ht="15" customHeight="1">
      <c r="A26" s="8"/>
      <c r="B26" s="8" t="s">
        <v>181</v>
      </c>
      <c r="C26" s="19">
        <v>4000</v>
      </c>
    </row>
    <row r="27" spans="1:3" ht="15" customHeight="1">
      <c r="A27" s="8"/>
      <c r="B27" s="8" t="s">
        <v>73</v>
      </c>
      <c r="C27" s="9">
        <v>2</v>
      </c>
    </row>
    <row r="28" spans="1:3" ht="15" customHeight="1">
      <c r="A28" s="8"/>
      <c r="B28" s="17" t="s">
        <v>180</v>
      </c>
      <c r="C28" s="9"/>
    </row>
    <row r="29" spans="1:3" ht="15" customHeight="1">
      <c r="A29" s="8"/>
      <c r="B29" s="8" t="s">
        <v>182</v>
      </c>
      <c r="C29" s="9" t="s">
        <v>74</v>
      </c>
    </row>
    <row r="30" spans="1:3" ht="15" customHeight="1">
      <c r="A30" s="8"/>
      <c r="B30" s="8" t="s">
        <v>183</v>
      </c>
      <c r="C30" s="9" t="s">
        <v>76</v>
      </c>
    </row>
    <row r="31" spans="1:3" ht="15" customHeight="1">
      <c r="A31" s="8"/>
      <c r="B31" s="8" t="s">
        <v>184</v>
      </c>
      <c r="C31" s="9" t="s">
        <v>77</v>
      </c>
    </row>
    <row r="32" spans="1:3" ht="15" customHeight="1">
      <c r="A32" s="8"/>
      <c r="B32" s="8" t="s">
        <v>79</v>
      </c>
      <c r="C32" s="9">
        <v>11</v>
      </c>
    </row>
    <row r="33" spans="1:3" ht="15" customHeight="1">
      <c r="A33" s="8"/>
      <c r="B33" s="8" t="s">
        <v>80</v>
      </c>
      <c r="C33" s="9">
        <v>2</v>
      </c>
    </row>
    <row r="34" spans="1:3" ht="15" customHeight="1">
      <c r="A34" s="8"/>
      <c r="B34" s="8" t="s">
        <v>106</v>
      </c>
      <c r="C34" s="9">
        <v>200</v>
      </c>
    </row>
    <row r="35" spans="1:3" ht="15" customHeight="1">
      <c r="A35" s="8"/>
      <c r="B35" s="8" t="s">
        <v>81</v>
      </c>
      <c r="C35" s="14">
        <v>0.05</v>
      </c>
    </row>
    <row r="36" spans="1:3" ht="15" customHeight="1">
      <c r="A36" s="8"/>
      <c r="B36" s="8" t="s">
        <v>82</v>
      </c>
      <c r="C36" s="9">
        <v>25</v>
      </c>
    </row>
    <row r="37" spans="1:3" ht="15" customHeight="1">
      <c r="A37" s="8"/>
      <c r="B37" s="8" t="s">
        <v>83</v>
      </c>
      <c r="C37" s="9">
        <v>20</v>
      </c>
    </row>
    <row r="38" spans="1:3" ht="15" customHeight="1">
      <c r="A38" s="75" t="s">
        <v>163</v>
      </c>
      <c r="B38" s="75" t="s">
        <v>85</v>
      </c>
      <c r="C38" s="22"/>
    </row>
    <row r="39" spans="1:3" ht="15" customHeight="1">
      <c r="A39" s="22"/>
      <c r="B39" s="22" t="s">
        <v>187</v>
      </c>
      <c r="C39" s="23">
        <v>4200</v>
      </c>
    </row>
    <row r="40" spans="1:3" ht="15" customHeight="1">
      <c r="A40" s="22"/>
      <c r="B40" s="22" t="s">
        <v>188</v>
      </c>
      <c r="C40" s="23">
        <v>3700</v>
      </c>
    </row>
    <row r="41" spans="1:3" ht="15" customHeight="1">
      <c r="A41" s="22"/>
      <c r="B41" s="22" t="s">
        <v>185</v>
      </c>
      <c r="C41" s="23">
        <v>3500</v>
      </c>
    </row>
    <row r="42" spans="1:4" ht="15" customHeight="1">
      <c r="A42" s="22"/>
      <c r="B42" s="22" t="s">
        <v>186</v>
      </c>
      <c r="C42" s="23">
        <v>4000</v>
      </c>
      <c r="D42" s="36">
        <v>0.2</v>
      </c>
    </row>
    <row r="43" spans="1:4" ht="15" customHeight="1">
      <c r="A43" s="8"/>
      <c r="B43" s="8" t="s">
        <v>86</v>
      </c>
      <c r="C43" s="8"/>
      <c r="D43" s="36">
        <v>0.25</v>
      </c>
    </row>
    <row r="44" spans="1:3" ht="15" customHeight="1">
      <c r="A44" s="8"/>
      <c r="B44" s="8" t="s">
        <v>87</v>
      </c>
      <c r="C44" s="9">
        <v>10</v>
      </c>
    </row>
    <row r="45" spans="1:3" ht="15" customHeight="1">
      <c r="A45" s="17" t="s">
        <v>167</v>
      </c>
      <c r="B45" s="17" t="s">
        <v>89</v>
      </c>
      <c r="C45" s="8"/>
    </row>
    <row r="46" spans="1:3" ht="15" customHeight="1">
      <c r="A46" s="8"/>
      <c r="B46" s="8" t="s">
        <v>90</v>
      </c>
      <c r="C46" s="9">
        <v>6</v>
      </c>
    </row>
    <row r="47" spans="1:3" ht="15" customHeight="1">
      <c r="A47" s="8"/>
      <c r="B47" s="8" t="s">
        <v>91</v>
      </c>
      <c r="C47" s="9">
        <v>1</v>
      </c>
    </row>
    <row r="48" spans="1:3" ht="15" customHeight="1">
      <c r="A48" s="8"/>
      <c r="B48" s="8" t="s">
        <v>92</v>
      </c>
      <c r="C48" s="24">
        <v>0.12</v>
      </c>
    </row>
    <row r="49" ht="15" customHeight="1"/>
  </sheetData>
  <sheetProtection/>
  <mergeCells count="1">
    <mergeCell ref="A1:C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5">
      <selection activeCell="A33" sqref="A33"/>
    </sheetView>
  </sheetViews>
  <sheetFormatPr defaultColWidth="9.140625" defaultRowHeight="15"/>
  <cols>
    <col min="1" max="1" width="4.140625" style="0" bestFit="1" customWidth="1"/>
    <col min="2" max="2" width="29.7109375" style="0" bestFit="1" customWidth="1"/>
    <col min="3" max="3" width="5.8515625" style="0" customWidth="1"/>
    <col min="4" max="4" width="6.57421875" style="0" customWidth="1"/>
    <col min="5" max="5" width="6.00390625" style="0" customWidth="1"/>
    <col min="9" max="9" width="12.421875" style="0" bestFit="1" customWidth="1"/>
  </cols>
  <sheetData>
    <row r="1" spans="1:9" ht="15.75">
      <c r="A1" s="81" t="str">
        <f>"UNIT COST FOR ("&amp;'(1) technical parameters'!C3&amp;" + "&amp;'(1) technical parameters'!C2&amp;") GOATERY PROJECT"</f>
        <v>UNIT COST FOR (100 + 4) GOATERY PROJECT</v>
      </c>
      <c r="B1" s="82"/>
      <c r="C1" s="82"/>
      <c r="D1" s="82"/>
      <c r="E1" s="82"/>
      <c r="F1" s="82"/>
      <c r="G1" s="82"/>
      <c r="H1" s="82"/>
      <c r="I1" s="83"/>
    </row>
    <row r="2" spans="1:9" ht="15">
      <c r="A2" s="49"/>
      <c r="B2" s="49"/>
      <c r="C2" s="65"/>
      <c r="D2" s="65"/>
      <c r="E2" s="65"/>
      <c r="F2" s="65"/>
      <c r="G2" s="65"/>
      <c r="H2" s="65"/>
      <c r="I2" s="66"/>
    </row>
    <row r="3" spans="1:9" ht="15">
      <c r="A3" s="7" t="s">
        <v>108</v>
      </c>
      <c r="B3" s="7" t="s">
        <v>23</v>
      </c>
      <c r="C3" s="7" t="s">
        <v>27</v>
      </c>
      <c r="D3" s="7"/>
      <c r="E3" s="7"/>
      <c r="F3" s="7"/>
      <c r="G3" s="7" t="s">
        <v>156</v>
      </c>
      <c r="H3" s="7"/>
      <c r="I3" s="67" t="s">
        <v>155</v>
      </c>
    </row>
    <row r="4" spans="1:9" ht="15">
      <c r="A4" s="7"/>
      <c r="B4" s="73" t="s">
        <v>165</v>
      </c>
      <c r="C4" s="7"/>
      <c r="D4" s="7"/>
      <c r="E4" s="7"/>
      <c r="F4" s="7"/>
      <c r="G4" s="7"/>
      <c r="H4" s="7"/>
      <c r="I4" s="67"/>
    </row>
    <row r="5" spans="1:9" ht="15">
      <c r="A5" s="7" t="s">
        <v>36</v>
      </c>
      <c r="B5" s="72" t="s">
        <v>154</v>
      </c>
      <c r="C5" s="7"/>
      <c r="D5" s="7"/>
      <c r="E5" s="7"/>
      <c r="F5" s="7"/>
      <c r="G5" s="7"/>
      <c r="H5" s="7"/>
      <c r="I5" s="67"/>
    </row>
    <row r="6" spans="1:9" ht="15">
      <c r="A6" s="9">
        <v>1</v>
      </c>
      <c r="B6" s="8" t="s">
        <v>26</v>
      </c>
      <c r="C6" s="9">
        <f>'(1) technical parameters'!C3</f>
        <v>100</v>
      </c>
      <c r="D6" s="9" t="s">
        <v>27</v>
      </c>
      <c r="E6" s="9">
        <f>'(1) technical parameters'!C17</f>
        <v>20</v>
      </c>
      <c r="F6" s="9" t="s">
        <v>0</v>
      </c>
      <c r="G6" s="9">
        <f>'(1) technical parameters'!C20</f>
        <v>200</v>
      </c>
      <c r="H6" s="9" t="s">
        <v>1</v>
      </c>
      <c r="I6" s="68">
        <f>C6*E6*G6</f>
        <v>400000</v>
      </c>
    </row>
    <row r="7" spans="1:9" ht="15">
      <c r="A7" s="9">
        <v>2</v>
      </c>
      <c r="B7" s="8" t="s">
        <v>35</v>
      </c>
      <c r="C7" s="9">
        <f>'(1) technical parameters'!C2</f>
        <v>4</v>
      </c>
      <c r="D7" s="9" t="s">
        <v>27</v>
      </c>
      <c r="E7" s="9">
        <f>'(1) technical parameters'!C18</f>
        <v>10</v>
      </c>
      <c r="F7" s="9" t="s">
        <v>0</v>
      </c>
      <c r="G7" s="9">
        <f>G6</f>
        <v>200</v>
      </c>
      <c r="H7" s="9" t="s">
        <v>1</v>
      </c>
      <c r="I7" s="68">
        <f>C7*E7*G7</f>
        <v>8000</v>
      </c>
    </row>
    <row r="8" spans="1:9" ht="15">
      <c r="A8" s="9">
        <v>3</v>
      </c>
      <c r="B8" s="8" t="s">
        <v>38</v>
      </c>
      <c r="C8" s="74">
        <f>'(3) Flock projection'!D16-('(3) Flock projection'!D16*'(1) technical parameters'!C12)</f>
        <v>122.4</v>
      </c>
      <c r="D8" s="9" t="s">
        <v>27</v>
      </c>
      <c r="E8" s="9">
        <f>'(1) technical parameters'!C19</f>
        <v>5</v>
      </c>
      <c r="F8" s="9" t="s">
        <v>0</v>
      </c>
      <c r="G8" s="9">
        <f>G7</f>
        <v>200</v>
      </c>
      <c r="H8" s="9" t="s">
        <v>1</v>
      </c>
      <c r="I8" s="68">
        <f>C8*E8*G8</f>
        <v>122400</v>
      </c>
    </row>
    <row r="9" spans="1:9" ht="15">
      <c r="A9" s="9">
        <v>4</v>
      </c>
      <c r="B9" s="8" t="s">
        <v>157</v>
      </c>
      <c r="C9" s="9">
        <v>0</v>
      </c>
      <c r="D9" s="9" t="s">
        <v>27</v>
      </c>
      <c r="E9" s="9">
        <v>0</v>
      </c>
      <c r="F9" s="9" t="s">
        <v>0</v>
      </c>
      <c r="G9" s="9">
        <v>0</v>
      </c>
      <c r="H9" s="9" t="s">
        <v>1</v>
      </c>
      <c r="I9" s="68">
        <f>E9*G9</f>
        <v>0</v>
      </c>
    </row>
    <row r="10" spans="1:9" ht="15">
      <c r="A10" s="7" t="s">
        <v>57</v>
      </c>
      <c r="B10" s="17" t="s">
        <v>158</v>
      </c>
      <c r="C10" s="9"/>
      <c r="D10" s="9"/>
      <c r="E10" s="9"/>
      <c r="F10" s="9"/>
      <c r="G10" s="9"/>
      <c r="H10" s="9"/>
      <c r="I10" s="68"/>
    </row>
    <row r="11" spans="1:9" ht="15">
      <c r="A11" s="9">
        <v>1</v>
      </c>
      <c r="B11" s="8" t="s">
        <v>159</v>
      </c>
      <c r="C11" s="9"/>
      <c r="D11" s="9"/>
      <c r="E11" s="9"/>
      <c r="F11" s="9"/>
      <c r="G11" s="9" t="s">
        <v>121</v>
      </c>
      <c r="H11" s="9"/>
      <c r="I11" s="68">
        <v>60000</v>
      </c>
    </row>
    <row r="12" spans="1:9" ht="15">
      <c r="A12" s="7" t="s">
        <v>84</v>
      </c>
      <c r="B12" s="17" t="s">
        <v>160</v>
      </c>
      <c r="C12" s="9"/>
      <c r="D12" s="9"/>
      <c r="E12" s="9"/>
      <c r="F12" s="9"/>
      <c r="G12" s="9"/>
      <c r="H12" s="9"/>
      <c r="I12" s="68"/>
    </row>
    <row r="13" spans="1:9" ht="15">
      <c r="A13" s="9">
        <v>1</v>
      </c>
      <c r="B13" s="8" t="s">
        <v>161</v>
      </c>
      <c r="C13" s="9"/>
      <c r="D13" s="9"/>
      <c r="E13" s="9"/>
      <c r="F13" s="9"/>
      <c r="G13" s="9" t="s">
        <v>121</v>
      </c>
      <c r="H13" s="9"/>
      <c r="I13" s="68">
        <v>12000</v>
      </c>
    </row>
    <row r="14" spans="1:9" ht="15">
      <c r="A14" s="7" t="s">
        <v>88</v>
      </c>
      <c r="B14" s="17" t="s">
        <v>162</v>
      </c>
      <c r="C14" s="9"/>
      <c r="D14" s="9"/>
      <c r="E14" s="9"/>
      <c r="F14" s="9"/>
      <c r="G14" s="9"/>
      <c r="H14" s="9"/>
      <c r="I14" s="68"/>
    </row>
    <row r="15" spans="1:9" ht="15">
      <c r="A15" s="9">
        <v>1</v>
      </c>
      <c r="B15" s="8" t="s">
        <v>52</v>
      </c>
      <c r="C15" s="9">
        <f>C7</f>
        <v>4</v>
      </c>
      <c r="D15" s="9" t="s">
        <v>14</v>
      </c>
      <c r="E15" s="9"/>
      <c r="F15" s="9"/>
      <c r="G15" s="9">
        <f>'(1) technical parameters'!C23</f>
        <v>5000</v>
      </c>
      <c r="H15" s="9" t="s">
        <v>49</v>
      </c>
      <c r="I15" s="68">
        <f>C15*G15</f>
        <v>20000</v>
      </c>
    </row>
    <row r="16" spans="1:9" ht="15">
      <c r="A16" s="9">
        <v>2</v>
      </c>
      <c r="B16" s="8" t="s">
        <v>48</v>
      </c>
      <c r="C16" s="9">
        <f>C6</f>
        <v>100</v>
      </c>
      <c r="D16" s="9" t="s">
        <v>14</v>
      </c>
      <c r="E16" s="9"/>
      <c r="F16" s="9"/>
      <c r="G16" s="9">
        <f>'(1) technical parameters'!C24</f>
        <v>4000</v>
      </c>
      <c r="H16" s="9" t="s">
        <v>53</v>
      </c>
      <c r="I16" s="68">
        <f>C16*G16</f>
        <v>400000</v>
      </c>
    </row>
    <row r="17" spans="1:9" ht="15">
      <c r="A17" s="9"/>
      <c r="B17" s="73" t="s">
        <v>166</v>
      </c>
      <c r="C17" s="9"/>
      <c r="D17" s="9"/>
      <c r="E17" s="9"/>
      <c r="F17" s="9"/>
      <c r="G17" s="9"/>
      <c r="H17" s="9"/>
      <c r="I17" s="68"/>
    </row>
    <row r="18" spans="1:9" ht="15">
      <c r="A18" s="7" t="s">
        <v>163</v>
      </c>
      <c r="B18" s="17" t="s">
        <v>164</v>
      </c>
      <c r="C18" s="9"/>
      <c r="D18" s="9"/>
      <c r="E18" s="9"/>
      <c r="F18" s="9"/>
      <c r="G18" s="9"/>
      <c r="H18" s="9"/>
      <c r="I18" s="68"/>
    </row>
    <row r="19" spans="1:9" ht="15">
      <c r="A19" s="9">
        <v>1</v>
      </c>
      <c r="B19" s="8" t="s">
        <v>52</v>
      </c>
      <c r="C19" s="9">
        <f>C15</f>
        <v>4</v>
      </c>
      <c r="D19" s="9" t="s">
        <v>14</v>
      </c>
      <c r="E19" s="9"/>
      <c r="F19" s="9"/>
      <c r="G19" s="9">
        <f>'(1) technical parameters'!C23*'(1) technical parameters'!C35</f>
        <v>250</v>
      </c>
      <c r="H19" s="9" t="s">
        <v>49</v>
      </c>
      <c r="I19" s="68">
        <f>(C19*G19)</f>
        <v>1000</v>
      </c>
    </row>
    <row r="20" spans="1:9" ht="15">
      <c r="A20" s="9">
        <v>2</v>
      </c>
      <c r="B20" s="8" t="s">
        <v>48</v>
      </c>
      <c r="C20" s="9">
        <f>C16</f>
        <v>100</v>
      </c>
      <c r="D20" s="9" t="s">
        <v>14</v>
      </c>
      <c r="E20" s="9"/>
      <c r="F20" s="9"/>
      <c r="G20" s="9">
        <f>'(1) technical parameters'!C24*'(1) technical parameters'!C35</f>
        <v>200</v>
      </c>
      <c r="H20" s="9" t="s">
        <v>53</v>
      </c>
      <c r="I20" s="68">
        <f>(C20*G20)</f>
        <v>20000</v>
      </c>
    </row>
    <row r="21" spans="1:9" ht="15">
      <c r="A21" s="7" t="s">
        <v>167</v>
      </c>
      <c r="B21" s="17" t="s">
        <v>168</v>
      </c>
      <c r="C21" s="9"/>
      <c r="D21" s="9"/>
      <c r="E21" s="9"/>
      <c r="F21" s="9"/>
      <c r="G21" s="9"/>
      <c r="H21" s="9"/>
      <c r="I21" s="68"/>
    </row>
    <row r="22" spans="1:9" ht="15">
      <c r="A22" s="9">
        <v>1</v>
      </c>
      <c r="B22" s="8" t="s">
        <v>62</v>
      </c>
      <c r="C22" s="9">
        <f>C20+C19</f>
        <v>104</v>
      </c>
      <c r="D22" s="9" t="s">
        <v>20</v>
      </c>
      <c r="E22" s="9"/>
      <c r="F22" s="9"/>
      <c r="G22" s="9">
        <f>'(1) technical parameters'!C36</f>
        <v>25</v>
      </c>
      <c r="H22" s="9" t="s">
        <v>44</v>
      </c>
      <c r="I22" s="68">
        <f>C22*G22</f>
        <v>2600</v>
      </c>
    </row>
    <row r="23" spans="1:9" ht="15">
      <c r="A23" s="9">
        <v>2</v>
      </c>
      <c r="B23" s="8" t="s">
        <v>64</v>
      </c>
      <c r="C23" s="9">
        <f>'(1) technical parameters'!C27</f>
        <v>2</v>
      </c>
      <c r="D23" s="9" t="s">
        <v>65</v>
      </c>
      <c r="E23" s="9"/>
      <c r="F23" s="9"/>
      <c r="G23" s="19">
        <f>'(1) technical parameters'!C26</f>
        <v>4000</v>
      </c>
      <c r="H23" s="9" t="s">
        <v>21</v>
      </c>
      <c r="I23" s="68">
        <f>C23*G23</f>
        <v>8000</v>
      </c>
    </row>
    <row r="24" spans="1:9" ht="15">
      <c r="A24" s="9">
        <v>3</v>
      </c>
      <c r="B24" s="8" t="s">
        <v>67</v>
      </c>
      <c r="C24" s="9"/>
      <c r="D24" s="9"/>
      <c r="E24" s="9"/>
      <c r="F24" s="9"/>
      <c r="G24" s="9"/>
      <c r="H24" s="9"/>
      <c r="I24" s="68"/>
    </row>
    <row r="25" spans="1:9" ht="15">
      <c r="A25" s="71" t="s">
        <v>169</v>
      </c>
      <c r="B25" s="8" t="s">
        <v>48</v>
      </c>
      <c r="C25" s="9">
        <f>C6</f>
        <v>100</v>
      </c>
      <c r="D25" s="9" t="s">
        <v>20</v>
      </c>
      <c r="E25" s="9">
        <v>6.7</v>
      </c>
      <c r="F25" s="9" t="s">
        <v>70</v>
      </c>
      <c r="G25" s="9">
        <v>60</v>
      </c>
      <c r="H25" s="9" t="s">
        <v>105</v>
      </c>
      <c r="I25" s="68">
        <f>C25*E25*G25</f>
        <v>40200</v>
      </c>
    </row>
    <row r="26" spans="1:9" ht="15">
      <c r="A26" s="71" t="s">
        <v>170</v>
      </c>
      <c r="B26" s="8" t="s">
        <v>46</v>
      </c>
      <c r="C26" s="9">
        <f>C7</f>
        <v>4</v>
      </c>
      <c r="D26" s="9" t="s">
        <v>20</v>
      </c>
      <c r="E26" s="9">
        <v>7.5</v>
      </c>
      <c r="F26" s="9" t="s">
        <v>70</v>
      </c>
      <c r="G26" s="9">
        <v>60</v>
      </c>
      <c r="H26" s="9" t="s">
        <v>105</v>
      </c>
      <c r="I26" s="68">
        <f>C26*E26*G26</f>
        <v>1800</v>
      </c>
    </row>
    <row r="27" spans="1:9" ht="15">
      <c r="A27" s="71" t="s">
        <v>171</v>
      </c>
      <c r="B27" s="8" t="s">
        <v>51</v>
      </c>
      <c r="C27" s="74">
        <f>C8</f>
        <v>122.4</v>
      </c>
      <c r="D27" s="9" t="s">
        <v>20</v>
      </c>
      <c r="E27" s="9">
        <v>3.75</v>
      </c>
      <c r="F27" s="9" t="s">
        <v>70</v>
      </c>
      <c r="G27" s="9">
        <v>30</v>
      </c>
      <c r="H27" s="9" t="s">
        <v>105</v>
      </c>
      <c r="I27" s="68">
        <f>C27*E27*G27</f>
        <v>13770</v>
      </c>
    </row>
    <row r="28" spans="1:9" ht="15">
      <c r="A28" s="9"/>
      <c r="B28" s="8"/>
      <c r="C28" s="9"/>
      <c r="D28" s="9"/>
      <c r="E28" s="9"/>
      <c r="F28" s="9"/>
      <c r="G28" s="9"/>
      <c r="H28" s="9"/>
      <c r="I28" s="68"/>
    </row>
    <row r="29" spans="1:9" ht="15">
      <c r="A29" s="9">
        <v>8</v>
      </c>
      <c r="B29" s="8" t="s">
        <v>60</v>
      </c>
      <c r="C29" s="9">
        <v>2</v>
      </c>
      <c r="D29" s="9" t="s">
        <v>75</v>
      </c>
      <c r="E29" s="9">
        <f>'(1) technical parameters'!C34</f>
        <v>200</v>
      </c>
      <c r="F29" s="9" t="s">
        <v>94</v>
      </c>
      <c r="G29" s="9">
        <f>C29*E29*30</f>
        <v>12000</v>
      </c>
      <c r="H29" s="9" t="s">
        <v>17</v>
      </c>
      <c r="I29" s="68">
        <f>G29*12</f>
        <v>144000</v>
      </c>
    </row>
    <row r="30" spans="1:9" ht="15">
      <c r="A30" s="9">
        <v>9</v>
      </c>
      <c r="B30" s="17" t="s">
        <v>78</v>
      </c>
      <c r="C30" s="7"/>
      <c r="D30" s="7"/>
      <c r="E30" s="7"/>
      <c r="F30" s="7"/>
      <c r="G30" s="7"/>
      <c r="H30" s="7"/>
      <c r="I30" s="69">
        <f>SUM(I6:I29)</f>
        <v>1253770</v>
      </c>
    </row>
    <row r="31" spans="1:9" ht="15">
      <c r="A31" s="9">
        <v>10</v>
      </c>
      <c r="B31" s="8" t="s">
        <v>172</v>
      </c>
      <c r="C31" s="9"/>
      <c r="D31" s="9"/>
      <c r="E31" s="9"/>
      <c r="F31" s="9"/>
      <c r="G31" s="9"/>
      <c r="H31" s="9"/>
      <c r="I31" s="68">
        <f>I30*0.25</f>
        <v>313442.5</v>
      </c>
    </row>
    <row r="32" spans="1:9" ht="15">
      <c r="A32" s="9">
        <v>11</v>
      </c>
      <c r="B32" s="8" t="s">
        <v>173</v>
      </c>
      <c r="C32" s="9"/>
      <c r="D32" s="9"/>
      <c r="E32" s="9"/>
      <c r="F32" s="9"/>
      <c r="G32" s="9"/>
      <c r="H32" s="9"/>
      <c r="I32" s="68">
        <f>I30-I31</f>
        <v>940327.5</v>
      </c>
    </row>
  </sheetData>
  <sheetProtection/>
  <mergeCells count="1">
    <mergeCell ref="A1:I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7.28125" style="0" bestFit="1" customWidth="1"/>
    <col min="2" max="2" width="23.7109375" style="0" bestFit="1" customWidth="1"/>
  </cols>
  <sheetData>
    <row r="1" spans="1:8" ht="15">
      <c r="A1" s="87" t="s">
        <v>111</v>
      </c>
      <c r="B1" s="87"/>
      <c r="C1" s="87"/>
      <c r="D1" s="87"/>
      <c r="E1" s="87"/>
      <c r="F1" s="87"/>
      <c r="G1" s="87"/>
      <c r="H1" s="87"/>
    </row>
    <row r="2" spans="1:8" ht="15">
      <c r="A2" s="87"/>
      <c r="B2" s="87"/>
      <c r="C2" s="87"/>
      <c r="D2" s="87"/>
      <c r="E2" s="87"/>
      <c r="F2" s="87"/>
      <c r="G2" s="87"/>
      <c r="H2" s="87"/>
    </row>
    <row r="3" spans="1:8" ht="15">
      <c r="A3" s="87"/>
      <c r="B3" s="87"/>
      <c r="C3" s="87"/>
      <c r="D3" s="87"/>
      <c r="E3" s="87"/>
      <c r="F3" s="87"/>
      <c r="G3" s="87"/>
      <c r="H3" s="87"/>
    </row>
    <row r="4" spans="1:8" ht="15.75">
      <c r="A4" s="76"/>
      <c r="B4" s="76"/>
      <c r="C4" s="76"/>
      <c r="D4" s="76"/>
      <c r="E4" s="76"/>
      <c r="F4" s="76"/>
      <c r="G4" s="76"/>
      <c r="H4" s="76"/>
    </row>
    <row r="5" spans="1:8" ht="15.75">
      <c r="A5" s="70"/>
      <c r="B5" s="70"/>
      <c r="C5" s="70"/>
      <c r="D5" s="70"/>
      <c r="E5" s="70"/>
      <c r="F5" s="70"/>
      <c r="G5" s="70"/>
      <c r="H5" s="70"/>
    </row>
    <row r="6" spans="1:8" ht="15">
      <c r="A6" s="85" t="s">
        <v>95</v>
      </c>
      <c r="B6" s="86" t="s">
        <v>96</v>
      </c>
      <c r="C6" s="84" t="s">
        <v>18</v>
      </c>
      <c r="D6" s="84"/>
      <c r="E6" s="84"/>
      <c r="F6" s="84"/>
      <c r="G6" s="84"/>
      <c r="H6" s="84"/>
    </row>
    <row r="7" spans="1:8" ht="15">
      <c r="A7" s="85"/>
      <c r="B7" s="86"/>
      <c r="C7" s="25" t="s">
        <v>2</v>
      </c>
      <c r="D7" s="25" t="s">
        <v>3</v>
      </c>
      <c r="E7" s="25" t="s">
        <v>4</v>
      </c>
      <c r="F7" s="26" t="s">
        <v>5</v>
      </c>
      <c r="G7" s="26" t="s">
        <v>6</v>
      </c>
      <c r="H7" s="26" t="s">
        <v>7</v>
      </c>
    </row>
    <row r="8" spans="1:8" ht="15">
      <c r="A8" s="58"/>
      <c r="B8" s="2" t="s">
        <v>97</v>
      </c>
      <c r="C8" s="1">
        <v>1</v>
      </c>
      <c r="D8" s="1">
        <v>2</v>
      </c>
      <c r="E8" s="1">
        <f>C8</f>
        <v>1</v>
      </c>
      <c r="F8" s="1">
        <f>D8</f>
        <v>2</v>
      </c>
      <c r="G8" s="1">
        <f>C8</f>
        <v>1</v>
      </c>
      <c r="H8" s="1">
        <f>D8</f>
        <v>2</v>
      </c>
    </row>
    <row r="9" spans="1:8" ht="15">
      <c r="A9" s="58" t="s">
        <v>36</v>
      </c>
      <c r="B9" s="2" t="s">
        <v>98</v>
      </c>
      <c r="C9" s="1">
        <f>'(1) technical parameters'!C2</f>
        <v>4</v>
      </c>
      <c r="D9" s="1">
        <f>C9</f>
        <v>4</v>
      </c>
      <c r="E9" s="1">
        <f>D9</f>
        <v>4</v>
      </c>
      <c r="F9" s="1">
        <f>E9</f>
        <v>4</v>
      </c>
      <c r="G9" s="1">
        <f>F9</f>
        <v>4</v>
      </c>
      <c r="H9" s="1">
        <f>G9</f>
        <v>4</v>
      </c>
    </row>
    <row r="10" spans="1:8" ht="15">
      <c r="A10" s="58"/>
      <c r="B10" s="2"/>
      <c r="C10" s="1"/>
      <c r="D10" s="1"/>
      <c r="E10" s="1"/>
      <c r="F10" s="1"/>
      <c r="G10" s="1"/>
      <c r="H10" s="1"/>
    </row>
    <row r="11" spans="1:8" ht="15">
      <c r="A11" s="58"/>
      <c r="B11" s="2"/>
      <c r="C11" s="1"/>
      <c r="D11" s="1"/>
      <c r="E11" s="1"/>
      <c r="F11" s="1"/>
      <c r="G11" s="1"/>
      <c r="H11" s="1"/>
    </row>
    <row r="12" spans="1:8" ht="15">
      <c r="A12" s="58"/>
      <c r="B12" s="2" t="s">
        <v>99</v>
      </c>
      <c r="C12" s="1">
        <f>'(1) technical parameters'!C3</f>
        <v>100</v>
      </c>
      <c r="D12" s="1">
        <f>C12</f>
        <v>100</v>
      </c>
      <c r="E12" s="1">
        <f>D12</f>
        <v>100</v>
      </c>
      <c r="F12" s="1">
        <f>E12</f>
        <v>100</v>
      </c>
      <c r="G12" s="1">
        <f>F12</f>
        <v>100</v>
      </c>
      <c r="H12" s="1">
        <f>G12</f>
        <v>100</v>
      </c>
    </row>
    <row r="13" spans="1:8" ht="15">
      <c r="A13" s="58"/>
      <c r="B13" s="2"/>
      <c r="C13" s="1"/>
      <c r="D13" s="1"/>
      <c r="E13" s="1"/>
      <c r="F13" s="1"/>
      <c r="G13" s="1"/>
      <c r="H13" s="1"/>
    </row>
    <row r="14" spans="1:8" ht="15">
      <c r="A14" s="58"/>
      <c r="B14" s="2"/>
      <c r="C14" s="1"/>
      <c r="D14" s="1"/>
      <c r="E14" s="1"/>
      <c r="F14" s="1"/>
      <c r="G14" s="1"/>
      <c r="H14" s="1"/>
    </row>
    <row r="15" spans="1:8" ht="15">
      <c r="A15" s="58" t="s">
        <v>57</v>
      </c>
      <c r="B15" s="2" t="s">
        <v>100</v>
      </c>
      <c r="C15" s="29">
        <f>'(1) technical parameters'!$C$3*'(1) technical parameters'!$C$7</f>
        <v>85</v>
      </c>
      <c r="D15" s="29">
        <f>'(1) technical parameters'!$C$3*'(1) technical parameters'!$C$7</f>
        <v>85</v>
      </c>
      <c r="E15" s="29">
        <f>'(1) technical parameters'!$C$3*'(1) technical parameters'!$C$7</f>
        <v>85</v>
      </c>
      <c r="F15" s="29">
        <f>'(1) technical parameters'!$C$3*'(1) technical parameters'!$C$7</f>
        <v>85</v>
      </c>
      <c r="G15" s="29">
        <f>'(1) technical parameters'!$C$3*'(1) technical parameters'!$C$7</f>
        <v>85</v>
      </c>
      <c r="H15" s="29">
        <f>'(1) technical parameters'!$C$3*'(1) technical parameters'!$C$7</f>
        <v>85</v>
      </c>
    </row>
    <row r="16" spans="1:8" ht="15">
      <c r="A16" s="58"/>
      <c r="B16" s="2" t="s">
        <v>101</v>
      </c>
      <c r="C16" s="1">
        <f>($C$15*'(1) technical parameters'!$C$8+C15)*C8/2</f>
        <v>68</v>
      </c>
      <c r="D16" s="1">
        <f>($C$15*'(1) technical parameters'!$C$8+D15)*D8/2</f>
        <v>136</v>
      </c>
      <c r="E16" s="1">
        <f>($C$15*'(1) technical parameters'!$C$8+E15)*E8/2</f>
        <v>68</v>
      </c>
      <c r="F16" s="1">
        <f>($C$15*'(1) technical parameters'!$C$8+F15)*F8/2</f>
        <v>136</v>
      </c>
      <c r="G16" s="1">
        <f>($C$15*'(1) technical parameters'!$C$8+G15)*G8/2</f>
        <v>68</v>
      </c>
      <c r="H16" s="1">
        <f>($C$15*'(1) technical parameters'!$C$8+H15)*H8/2</f>
        <v>136</v>
      </c>
    </row>
    <row r="17" spans="1:8" ht="15">
      <c r="A17" s="58"/>
      <c r="B17" s="2"/>
      <c r="C17" s="1"/>
      <c r="D17" s="1"/>
      <c r="E17" s="1"/>
      <c r="F17" s="1"/>
      <c r="G17" s="1"/>
      <c r="H17" s="1"/>
    </row>
    <row r="18" spans="1:8" ht="15">
      <c r="A18" s="58"/>
      <c r="B18" s="2" t="s">
        <v>102</v>
      </c>
      <c r="C18" s="1">
        <f aca="true" t="shared" si="0" ref="C18:H18">C16</f>
        <v>68</v>
      </c>
      <c r="D18" s="1">
        <f t="shared" si="0"/>
        <v>136</v>
      </c>
      <c r="E18" s="1">
        <f t="shared" si="0"/>
        <v>68</v>
      </c>
      <c r="F18" s="1">
        <f t="shared" si="0"/>
        <v>136</v>
      </c>
      <c r="G18" s="1">
        <f t="shared" si="0"/>
        <v>68</v>
      </c>
      <c r="H18" s="1">
        <f t="shared" si="0"/>
        <v>136</v>
      </c>
    </row>
    <row r="19" spans="1:8" ht="15">
      <c r="A19" s="58"/>
      <c r="B19" s="2"/>
      <c r="C19" s="1"/>
      <c r="D19" s="1"/>
      <c r="E19" s="1"/>
      <c r="F19" s="1"/>
      <c r="G19" s="1"/>
      <c r="H19" s="1"/>
    </row>
    <row r="20" spans="1:8" ht="15">
      <c r="A20" s="58" t="s">
        <v>84</v>
      </c>
      <c r="B20" s="2" t="s">
        <v>103</v>
      </c>
      <c r="C20" s="1"/>
      <c r="D20" s="1"/>
      <c r="E20" s="1"/>
      <c r="F20" s="1"/>
      <c r="G20" s="1"/>
      <c r="H20" s="1"/>
    </row>
    <row r="21" spans="1:8" ht="15">
      <c r="A21" s="58"/>
      <c r="B21" s="2" t="s">
        <v>101</v>
      </c>
      <c r="C21" s="3">
        <f>C16*'(1) technical parameters'!$C$12</f>
        <v>6.800000000000001</v>
      </c>
      <c r="D21" s="3">
        <f>D16*'(1) technical parameters'!$C$12</f>
        <v>13.600000000000001</v>
      </c>
      <c r="E21" s="3">
        <f>E16*'(1) technical parameters'!$C$12</f>
        <v>6.800000000000001</v>
      </c>
      <c r="F21" s="3">
        <f>F16*'(1) technical parameters'!$C$12</f>
        <v>13.600000000000001</v>
      </c>
      <c r="G21" s="3">
        <f>G16*'(1) technical parameters'!$C$12</f>
        <v>6.800000000000001</v>
      </c>
      <c r="H21" s="3">
        <f>H16*'(1) technical parameters'!$C$12</f>
        <v>13.600000000000001</v>
      </c>
    </row>
    <row r="22" spans="1:8" ht="15">
      <c r="A22" s="58"/>
      <c r="B22" s="2" t="s">
        <v>102</v>
      </c>
      <c r="C22" s="3">
        <f>C18*'(1) technical parameters'!$C$12</f>
        <v>6.800000000000001</v>
      </c>
      <c r="D22" s="3">
        <f>D18*'(1) technical parameters'!$C$12</f>
        <v>13.600000000000001</v>
      </c>
      <c r="E22" s="3">
        <f>E18*'(1) technical parameters'!$C$12</f>
        <v>6.800000000000001</v>
      </c>
      <c r="F22" s="3">
        <f>F18*'(1) technical parameters'!$C$12</f>
        <v>13.600000000000001</v>
      </c>
      <c r="G22" s="3">
        <f>G18*'(1) technical parameters'!$C$12</f>
        <v>6.800000000000001</v>
      </c>
      <c r="H22" s="3">
        <f>H18*'(1) technical parameters'!$C$12</f>
        <v>13.600000000000001</v>
      </c>
    </row>
    <row r="23" spans="1:8" ht="15">
      <c r="A23" s="58"/>
      <c r="B23" s="2"/>
      <c r="C23" s="1"/>
      <c r="D23" s="1"/>
      <c r="E23" s="1"/>
      <c r="F23" s="1"/>
      <c r="G23" s="1"/>
      <c r="H23" s="1"/>
    </row>
    <row r="24" spans="1:8" ht="15">
      <c r="A24" s="58" t="s">
        <v>88</v>
      </c>
      <c r="B24" s="2" t="s">
        <v>104</v>
      </c>
      <c r="C24" s="1"/>
      <c r="D24" s="1"/>
      <c r="E24" s="1"/>
      <c r="F24" s="1"/>
      <c r="G24" s="1"/>
      <c r="H24" s="1"/>
    </row>
    <row r="25" spans="1:8" ht="15">
      <c r="A25" s="20"/>
      <c r="B25" s="2" t="s">
        <v>101</v>
      </c>
      <c r="C25" s="3">
        <f aca="true" t="shared" si="1" ref="C25:H25">C16-C21</f>
        <v>61.2</v>
      </c>
      <c r="D25" s="3">
        <f t="shared" si="1"/>
        <v>122.4</v>
      </c>
      <c r="E25" s="3">
        <f t="shared" si="1"/>
        <v>61.2</v>
      </c>
      <c r="F25" s="3">
        <f t="shared" si="1"/>
        <v>122.4</v>
      </c>
      <c r="G25" s="3">
        <f t="shared" si="1"/>
        <v>61.2</v>
      </c>
      <c r="H25" s="3">
        <f t="shared" si="1"/>
        <v>122.4</v>
      </c>
    </row>
    <row r="26" spans="1:8" ht="15">
      <c r="A26" s="20"/>
      <c r="B26" s="2" t="s">
        <v>102</v>
      </c>
      <c r="C26" s="3">
        <f aca="true" t="shared" si="2" ref="C26:H26">C18-C22</f>
        <v>61.2</v>
      </c>
      <c r="D26" s="3">
        <f t="shared" si="2"/>
        <v>122.4</v>
      </c>
      <c r="E26" s="3">
        <f t="shared" si="2"/>
        <v>61.2</v>
      </c>
      <c r="F26" s="3">
        <f t="shared" si="2"/>
        <v>122.4</v>
      </c>
      <c r="G26" s="3">
        <f t="shared" si="2"/>
        <v>61.2</v>
      </c>
      <c r="H26" s="3">
        <f t="shared" si="2"/>
        <v>122.4</v>
      </c>
    </row>
  </sheetData>
  <sheetProtection/>
  <mergeCells count="4">
    <mergeCell ref="C6:H6"/>
    <mergeCell ref="A6:A7"/>
    <mergeCell ref="B6:B7"/>
    <mergeCell ref="A1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140625" style="0" bestFit="1" customWidth="1"/>
    <col min="2" max="2" width="33.00390625" style="0" bestFit="1" customWidth="1"/>
    <col min="3" max="4" width="10.57421875" style="0" bestFit="1" customWidth="1"/>
    <col min="5" max="5" width="10.00390625" style="0" bestFit="1" customWidth="1"/>
    <col min="6" max="6" width="9.00390625" style="0" bestFit="1" customWidth="1"/>
    <col min="7" max="7" width="10.00390625" style="0" bestFit="1" customWidth="1"/>
    <col min="8" max="8" width="9.00390625" style="0" bestFit="1" customWidth="1"/>
  </cols>
  <sheetData>
    <row r="1" spans="1:8" ht="15.75">
      <c r="A1" s="81" t="s">
        <v>107</v>
      </c>
      <c r="B1" s="82"/>
      <c r="C1" s="82"/>
      <c r="D1" s="82"/>
      <c r="E1" s="82"/>
      <c r="F1" s="82"/>
      <c r="G1" s="82"/>
      <c r="H1" s="83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5">
      <c r="A3" s="10" t="s">
        <v>108</v>
      </c>
      <c r="B3" s="10" t="s">
        <v>25</v>
      </c>
      <c r="C3" s="88" t="s">
        <v>19</v>
      </c>
      <c r="D3" s="88"/>
      <c r="E3" s="88"/>
      <c r="F3" s="88"/>
      <c r="G3" s="88"/>
      <c r="H3" s="88"/>
    </row>
    <row r="4" spans="1:8" ht="15">
      <c r="A4" s="10"/>
      <c r="B4" s="10"/>
      <c r="C4" s="10" t="s">
        <v>29</v>
      </c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34</v>
      </c>
    </row>
    <row r="5" spans="1:8" ht="15">
      <c r="A5" s="25">
        <v>1</v>
      </c>
      <c r="B5" s="50" t="s">
        <v>126</v>
      </c>
      <c r="C5" s="20"/>
      <c r="D5" s="20"/>
      <c r="E5" s="20"/>
      <c r="F5" s="20"/>
      <c r="G5" s="20"/>
      <c r="H5" s="20"/>
    </row>
    <row r="6" spans="1:8" ht="15">
      <c r="A6" s="7" t="s">
        <v>8</v>
      </c>
      <c r="B6" s="17" t="s">
        <v>66</v>
      </c>
      <c r="C6" s="11"/>
      <c r="D6" s="11"/>
      <c r="E6" s="11"/>
      <c r="F6" s="11"/>
      <c r="G6" s="11"/>
      <c r="H6" s="11"/>
    </row>
    <row r="7" spans="1:8" ht="15">
      <c r="A7" s="8"/>
      <c r="B7" s="8" t="s">
        <v>69</v>
      </c>
      <c r="C7" s="11">
        <v>0</v>
      </c>
      <c r="D7" s="11">
        <v>0</v>
      </c>
      <c r="E7" s="11">
        <f>'(1) technical parameters'!C2*'(1) technical parameters'!D43*'(1) technical parameters'!C42</f>
        <v>4000</v>
      </c>
      <c r="F7" s="11">
        <v>0</v>
      </c>
      <c r="G7" s="11">
        <f>E7</f>
        <v>4000</v>
      </c>
      <c r="H7" s="11">
        <v>0</v>
      </c>
    </row>
    <row r="8" spans="1:8" ht="15">
      <c r="A8" s="8"/>
      <c r="B8" s="8" t="s">
        <v>72</v>
      </c>
      <c r="C8" s="11">
        <v>0</v>
      </c>
      <c r="D8" s="11">
        <v>0</v>
      </c>
      <c r="E8" s="11">
        <f>'(1) technical parameters'!C3*'(1) technical parameters'!D42*'(1) technical parameters'!C41</f>
        <v>70000</v>
      </c>
      <c r="F8" s="11">
        <v>0</v>
      </c>
      <c r="G8" s="11">
        <f>E8</f>
        <v>70000</v>
      </c>
      <c r="H8" s="11">
        <v>0</v>
      </c>
    </row>
    <row r="9" spans="1:8" ht="15">
      <c r="A9" s="8"/>
      <c r="B9" s="8" t="s">
        <v>119</v>
      </c>
      <c r="C9" s="11">
        <v>0</v>
      </c>
      <c r="D9" s="11">
        <f>'(3) Flock projection'!C25*'(1) technical parameters'!C39</f>
        <v>257040</v>
      </c>
      <c r="E9" s="11">
        <f>'(3) Flock projection'!D25*'(1) technical parameters'!C39</f>
        <v>514080</v>
      </c>
      <c r="F9" s="11">
        <f>D9</f>
        <v>257040</v>
      </c>
      <c r="G9" s="11">
        <f>E9</f>
        <v>514080</v>
      </c>
      <c r="H9" s="11">
        <f>F9</f>
        <v>257040</v>
      </c>
    </row>
    <row r="10" spans="1:8" ht="15">
      <c r="A10" s="8"/>
      <c r="B10" s="8" t="s">
        <v>120</v>
      </c>
      <c r="C10" s="11">
        <v>0</v>
      </c>
      <c r="D10" s="11">
        <f>'(3) Flock projection'!C26*'(1) technical parameters'!C40</f>
        <v>226440</v>
      </c>
      <c r="E10" s="11">
        <f>'(3) Flock projection'!D26*'(1) technical parameters'!C40</f>
        <v>452880</v>
      </c>
      <c r="F10" s="11">
        <f>D10</f>
        <v>226440</v>
      </c>
      <c r="G10" s="11">
        <f>E10</f>
        <v>452880</v>
      </c>
      <c r="H10" s="11">
        <f>F10</f>
        <v>226440</v>
      </c>
    </row>
    <row r="11" spans="1:8" ht="15">
      <c r="A11" s="7" t="s">
        <v>9</v>
      </c>
      <c r="B11" s="17" t="s">
        <v>16</v>
      </c>
      <c r="C11" s="11">
        <v>10000</v>
      </c>
      <c r="D11" s="11">
        <f>C11</f>
        <v>10000</v>
      </c>
      <c r="E11" s="11">
        <f>D11</f>
        <v>10000</v>
      </c>
      <c r="F11" s="11">
        <f>E11</f>
        <v>10000</v>
      </c>
      <c r="G11" s="11">
        <f>F11</f>
        <v>10000</v>
      </c>
      <c r="H11" s="11">
        <f>G11</f>
        <v>10000</v>
      </c>
    </row>
    <row r="12" spans="1:8" ht="15">
      <c r="A12" s="7" t="s">
        <v>10</v>
      </c>
      <c r="B12" s="17" t="s">
        <v>15</v>
      </c>
      <c r="C12" s="11">
        <v>15000</v>
      </c>
      <c r="D12" s="11">
        <f>C12*2</f>
        <v>30000</v>
      </c>
      <c r="E12" s="11">
        <f>D12</f>
        <v>30000</v>
      </c>
      <c r="F12" s="11">
        <f>E12</f>
        <v>30000</v>
      </c>
      <c r="G12" s="11">
        <f>F12</f>
        <v>30000</v>
      </c>
      <c r="H12" s="11">
        <f>G12</f>
        <v>30000</v>
      </c>
    </row>
    <row r="13" spans="1:8" ht="15">
      <c r="A13" s="8"/>
      <c r="B13" s="17" t="s">
        <v>22</v>
      </c>
      <c r="C13" s="18">
        <f aca="true" t="shared" si="0" ref="C13:H13">SUM(C7:C12)</f>
        <v>25000</v>
      </c>
      <c r="D13" s="18">
        <f t="shared" si="0"/>
        <v>523480</v>
      </c>
      <c r="E13" s="18">
        <f t="shared" si="0"/>
        <v>1080960</v>
      </c>
      <c r="F13" s="18">
        <f t="shared" si="0"/>
        <v>523480</v>
      </c>
      <c r="G13" s="18">
        <f t="shared" si="0"/>
        <v>1080960</v>
      </c>
      <c r="H13" s="18">
        <f t="shared" si="0"/>
        <v>523480</v>
      </c>
    </row>
    <row r="14" spans="1:8" ht="15">
      <c r="A14" s="7">
        <v>2</v>
      </c>
      <c r="B14" s="17" t="s">
        <v>144</v>
      </c>
      <c r="C14" s="11"/>
      <c r="D14" s="11"/>
      <c r="E14" s="11"/>
      <c r="F14" s="11"/>
      <c r="G14" s="11"/>
      <c r="H14" s="11"/>
    </row>
    <row r="15" spans="1:8" ht="15">
      <c r="A15" s="9" t="s">
        <v>8</v>
      </c>
      <c r="B15" s="8" t="s">
        <v>93</v>
      </c>
      <c r="C15" s="11">
        <f>'(2) Unit Cost'!I23</f>
        <v>8000</v>
      </c>
      <c r="D15" s="11">
        <f>C15</f>
        <v>8000</v>
      </c>
      <c r="E15" s="11">
        <f>D15</f>
        <v>8000</v>
      </c>
      <c r="F15" s="11">
        <f>E15</f>
        <v>8000</v>
      </c>
      <c r="G15" s="11">
        <f>F15</f>
        <v>8000</v>
      </c>
      <c r="H15" s="11">
        <f>G15</f>
        <v>8000</v>
      </c>
    </row>
    <row r="16" spans="1:8" ht="15">
      <c r="A16" s="9" t="s">
        <v>9</v>
      </c>
      <c r="B16" s="8" t="s">
        <v>43</v>
      </c>
      <c r="C16" s="11"/>
      <c r="D16" s="11"/>
      <c r="E16" s="11"/>
      <c r="F16" s="11"/>
      <c r="G16" s="11"/>
      <c r="H16" s="11"/>
    </row>
    <row r="17" spans="1:8" ht="15">
      <c r="A17" s="8"/>
      <c r="B17" s="8" t="s">
        <v>46</v>
      </c>
      <c r="C17" s="11">
        <f>('(2) Unit Cost'!I26)</f>
        <v>1800</v>
      </c>
      <c r="D17" s="11">
        <f aca="true" t="shared" si="1" ref="D17:H20">C17</f>
        <v>1800</v>
      </c>
      <c r="E17" s="11">
        <f t="shared" si="1"/>
        <v>1800</v>
      </c>
      <c r="F17" s="11">
        <f t="shared" si="1"/>
        <v>1800</v>
      </c>
      <c r="G17" s="11">
        <f t="shared" si="1"/>
        <v>1800</v>
      </c>
      <c r="H17" s="11">
        <f t="shared" si="1"/>
        <v>1800</v>
      </c>
    </row>
    <row r="18" spans="1:8" ht="15">
      <c r="A18" s="8"/>
      <c r="B18" s="8" t="s">
        <v>48</v>
      </c>
      <c r="C18" s="11">
        <f>'(2) Unit Cost'!I25</f>
        <v>40200</v>
      </c>
      <c r="D18" s="11">
        <f t="shared" si="1"/>
        <v>40200</v>
      </c>
      <c r="E18" s="11">
        <f t="shared" si="1"/>
        <v>40200</v>
      </c>
      <c r="F18" s="11">
        <f t="shared" si="1"/>
        <v>40200</v>
      </c>
      <c r="G18" s="11">
        <f t="shared" si="1"/>
        <v>40200</v>
      </c>
      <c r="H18" s="11">
        <f t="shared" si="1"/>
        <v>40200</v>
      </c>
    </row>
    <row r="19" spans="1:8" ht="15">
      <c r="A19" s="8"/>
      <c r="B19" s="8" t="s">
        <v>51</v>
      </c>
      <c r="C19" s="11">
        <f>'(2) Unit Cost'!I27</f>
        <v>13770</v>
      </c>
      <c r="D19" s="11">
        <f t="shared" si="1"/>
        <v>13770</v>
      </c>
      <c r="E19" s="11">
        <f t="shared" si="1"/>
        <v>13770</v>
      </c>
      <c r="F19" s="11">
        <f t="shared" si="1"/>
        <v>13770</v>
      </c>
      <c r="G19" s="11">
        <f t="shared" si="1"/>
        <v>13770</v>
      </c>
      <c r="H19" s="11">
        <f t="shared" si="1"/>
        <v>13770</v>
      </c>
    </row>
    <row r="20" spans="1:8" ht="15">
      <c r="A20" s="9" t="s">
        <v>10</v>
      </c>
      <c r="B20" s="8" t="s">
        <v>54</v>
      </c>
      <c r="C20" s="11">
        <f>('(1) technical parameters'!C3+'(1) technical parameters'!C2)*'(1) technical parameters'!C36</f>
        <v>2600</v>
      </c>
      <c r="D20" s="11">
        <f t="shared" si="1"/>
        <v>2600</v>
      </c>
      <c r="E20" s="11">
        <f t="shared" si="1"/>
        <v>2600</v>
      </c>
      <c r="F20" s="11">
        <f t="shared" si="1"/>
        <v>2600</v>
      </c>
      <c r="G20" s="11">
        <f t="shared" si="1"/>
        <v>2600</v>
      </c>
      <c r="H20" s="11">
        <f t="shared" si="1"/>
        <v>2600</v>
      </c>
    </row>
    <row r="21" spans="1:8" ht="15">
      <c r="A21" s="9" t="s">
        <v>12</v>
      </c>
      <c r="B21" s="8" t="s">
        <v>11</v>
      </c>
      <c r="C21" s="11">
        <f>('(2) Unit Cost'!I19+'(2) Unit Cost'!I20)</f>
        <v>21000</v>
      </c>
      <c r="D21" s="11"/>
      <c r="E21" s="11"/>
      <c r="F21" s="11">
        <f>C21</f>
        <v>21000</v>
      </c>
      <c r="G21" s="11"/>
      <c r="H21" s="11"/>
    </row>
    <row r="22" spans="1:8" ht="15">
      <c r="A22" s="9" t="s">
        <v>13</v>
      </c>
      <c r="B22" s="8" t="s">
        <v>189</v>
      </c>
      <c r="C22" s="11">
        <v>5000</v>
      </c>
      <c r="D22" s="11">
        <f aca="true" t="shared" si="2" ref="D22:H23">C22</f>
        <v>5000</v>
      </c>
      <c r="E22" s="11">
        <f t="shared" si="2"/>
        <v>5000</v>
      </c>
      <c r="F22" s="11">
        <f t="shared" si="2"/>
        <v>5000</v>
      </c>
      <c r="G22" s="11">
        <f t="shared" si="2"/>
        <v>5000</v>
      </c>
      <c r="H22" s="11">
        <f t="shared" si="2"/>
        <v>5000</v>
      </c>
    </row>
    <row r="23" spans="1:8" ht="15">
      <c r="A23" s="9" t="s">
        <v>59</v>
      </c>
      <c r="B23" s="8" t="s">
        <v>60</v>
      </c>
      <c r="C23" s="11">
        <f>'(2) Unit Cost'!I29</f>
        <v>144000</v>
      </c>
      <c r="D23" s="11">
        <f t="shared" si="2"/>
        <v>144000</v>
      </c>
      <c r="E23" s="11">
        <f t="shared" si="2"/>
        <v>144000</v>
      </c>
      <c r="F23" s="11">
        <f t="shared" si="2"/>
        <v>144000</v>
      </c>
      <c r="G23" s="11">
        <f t="shared" si="2"/>
        <v>144000</v>
      </c>
      <c r="H23" s="11">
        <f t="shared" si="2"/>
        <v>144000</v>
      </c>
    </row>
    <row r="24" spans="1:8" ht="15">
      <c r="A24" s="8"/>
      <c r="B24" s="17" t="s">
        <v>145</v>
      </c>
      <c r="C24" s="18">
        <f aca="true" t="shared" si="3" ref="C24:H24">SUM(C15:C23)</f>
        <v>236370</v>
      </c>
      <c r="D24" s="18">
        <f t="shared" si="3"/>
        <v>215370</v>
      </c>
      <c r="E24" s="18">
        <f t="shared" si="3"/>
        <v>215370</v>
      </c>
      <c r="F24" s="18">
        <f t="shared" si="3"/>
        <v>236370</v>
      </c>
      <c r="G24" s="18">
        <f t="shared" si="3"/>
        <v>215370</v>
      </c>
      <c r="H24" s="18">
        <f t="shared" si="3"/>
        <v>215370</v>
      </c>
    </row>
    <row r="25" spans="1:8" ht="15">
      <c r="A25" s="9"/>
      <c r="B25" s="17" t="s">
        <v>143</v>
      </c>
      <c r="C25" s="18">
        <f aca="true" t="shared" si="4" ref="C25:H25">C13-C24</f>
        <v>-211370</v>
      </c>
      <c r="D25" s="18">
        <f t="shared" si="4"/>
        <v>308110</v>
      </c>
      <c r="E25" s="18">
        <f t="shared" si="4"/>
        <v>865590</v>
      </c>
      <c r="F25" s="18">
        <f t="shared" si="4"/>
        <v>287110</v>
      </c>
      <c r="G25" s="18">
        <f t="shared" si="4"/>
        <v>865590</v>
      </c>
      <c r="H25" s="18">
        <f t="shared" si="4"/>
        <v>308110</v>
      </c>
    </row>
  </sheetData>
  <sheetProtection/>
  <mergeCells count="2">
    <mergeCell ref="A1:H1"/>
    <mergeCell ref="C3:H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3.00390625" style="0" bestFit="1" customWidth="1"/>
    <col min="2" max="3" width="10.57421875" style="0" bestFit="1" customWidth="1"/>
  </cols>
  <sheetData>
    <row r="1" spans="1:7" ht="15.75">
      <c r="A1" s="80" t="s">
        <v>109</v>
      </c>
      <c r="B1" s="80"/>
      <c r="C1" s="80"/>
      <c r="D1" s="80"/>
      <c r="E1" s="80"/>
      <c r="F1" s="80"/>
      <c r="G1" s="80"/>
    </row>
    <row r="2" spans="1:7" ht="15">
      <c r="A2" s="84" t="s">
        <v>96</v>
      </c>
      <c r="B2" s="84" t="s">
        <v>18</v>
      </c>
      <c r="C2" s="84"/>
      <c r="D2" s="84"/>
      <c r="E2" s="84"/>
      <c r="F2" s="84"/>
      <c r="G2" s="84"/>
    </row>
    <row r="3" spans="1:7" ht="15">
      <c r="A3" s="84"/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</row>
    <row r="4" spans="1:7" ht="15">
      <c r="A4" s="20" t="s">
        <v>146</v>
      </c>
      <c r="B4" s="12">
        <f>'(2) Unit Cost'!I32</f>
        <v>940327.5</v>
      </c>
      <c r="C4" s="12">
        <f>B4</f>
        <v>940327.5</v>
      </c>
      <c r="D4" s="12">
        <f>C4-C6</f>
        <v>752262</v>
      </c>
      <c r="E4" s="12">
        <f>D4-D6</f>
        <v>564196.5</v>
      </c>
      <c r="F4" s="12">
        <f>E4-E6</f>
        <v>376131</v>
      </c>
      <c r="G4" s="12">
        <f>F4-F6</f>
        <v>188065.5</v>
      </c>
    </row>
    <row r="5" spans="1:7" ht="15">
      <c r="A5" s="20" t="s">
        <v>149</v>
      </c>
      <c r="B5" s="51">
        <f>B4*'(1) technical parameters'!$C$48</f>
        <v>112839.3</v>
      </c>
      <c r="C5" s="51">
        <f>C4*'(1) technical parameters'!$C$48</f>
        <v>112839.3</v>
      </c>
      <c r="D5" s="51">
        <f>D4*'(1) technical parameters'!$C$48</f>
        <v>90271.44</v>
      </c>
      <c r="E5" s="51">
        <f>E4*'(1) technical parameters'!$C$48</f>
        <v>67703.58</v>
      </c>
      <c r="F5" s="51">
        <f>F4*'(1) technical parameters'!$C$48</f>
        <v>45135.72</v>
      </c>
      <c r="G5" s="51">
        <f>G4*'(1) technical parameters'!$C$48</f>
        <v>22567.86</v>
      </c>
    </row>
    <row r="6" spans="1:7" ht="15">
      <c r="A6" s="20" t="s">
        <v>147</v>
      </c>
      <c r="B6" s="20">
        <v>0</v>
      </c>
      <c r="C6" s="12">
        <f>B4/5</f>
        <v>188065.5</v>
      </c>
      <c r="D6" s="12">
        <f>C6</f>
        <v>188065.5</v>
      </c>
      <c r="E6" s="12">
        <f>D6</f>
        <v>188065.5</v>
      </c>
      <c r="F6" s="12">
        <f>E6</f>
        <v>188065.5</v>
      </c>
      <c r="G6" s="12">
        <f>F6</f>
        <v>188065.5</v>
      </c>
    </row>
    <row r="7" spans="1:7" ht="15">
      <c r="A7" s="50" t="s">
        <v>148</v>
      </c>
      <c r="B7" s="15">
        <f aca="true" t="shared" si="0" ref="B7:G7">SUM(B5:B6)</f>
        <v>112839.3</v>
      </c>
      <c r="C7" s="15">
        <f t="shared" si="0"/>
        <v>300904.8</v>
      </c>
      <c r="D7" s="15">
        <f t="shared" si="0"/>
        <v>278336.94</v>
      </c>
      <c r="E7" s="15">
        <f t="shared" si="0"/>
        <v>255769.08000000002</v>
      </c>
      <c r="F7" s="15">
        <f t="shared" si="0"/>
        <v>233201.22</v>
      </c>
      <c r="G7" s="15">
        <f t="shared" si="0"/>
        <v>210633.36</v>
      </c>
    </row>
    <row r="8" spans="1:7" ht="15">
      <c r="A8" s="50" t="s">
        <v>143</v>
      </c>
      <c r="B8" s="15">
        <f>'(4) Economics'!C25</f>
        <v>-211370</v>
      </c>
      <c r="C8" s="15">
        <f>'(4) Economics'!D25</f>
        <v>308110</v>
      </c>
      <c r="D8" s="15">
        <f>'(4) Economics'!E25</f>
        <v>865590</v>
      </c>
      <c r="E8" s="15">
        <f>'(4) Economics'!F25</f>
        <v>287110</v>
      </c>
      <c r="F8" s="15">
        <f>'(4) Economics'!G25</f>
        <v>865590</v>
      </c>
      <c r="G8" s="15">
        <f>'(4) Economics'!H25</f>
        <v>308110</v>
      </c>
    </row>
    <row r="9" spans="1:7" ht="15">
      <c r="A9" s="50" t="s">
        <v>150</v>
      </c>
      <c r="B9" s="15">
        <f>'(4) Economics'!C25-B7</f>
        <v>-324209.3</v>
      </c>
      <c r="C9" s="15">
        <f>'(4) Economics'!D25-C7</f>
        <v>7205.200000000012</v>
      </c>
      <c r="D9" s="15">
        <f>'(4) Economics'!E25-D7</f>
        <v>587253.06</v>
      </c>
      <c r="E9" s="15">
        <f>'(4) Economics'!F25-E7</f>
        <v>31340.919999999984</v>
      </c>
      <c r="F9" s="15">
        <f>'(4) Economics'!G25-F7</f>
        <v>632388.78</v>
      </c>
      <c r="G9" s="15">
        <f>'(4) Economics'!H25-G7</f>
        <v>97476.64000000001</v>
      </c>
    </row>
    <row r="10" spans="1:7" ht="15">
      <c r="A10" s="50" t="s">
        <v>151</v>
      </c>
      <c r="B10" s="52">
        <f>('(4) Economics'!C25+B5)/B7</f>
        <v>-0.8731948886602451</v>
      </c>
      <c r="C10" s="52">
        <f>('(4) Economics'!D25+C5)/C7</f>
        <v>1.3989451148668948</v>
      </c>
      <c r="D10" s="52">
        <f>('(4) Economics'!E25+D5)/D7</f>
        <v>3.4341882180640484</v>
      </c>
      <c r="E10" s="52">
        <f>('(4) Economics'!F25+E5)/E7</f>
        <v>1.3872418824042374</v>
      </c>
      <c r="F10" s="52">
        <f>('(4) Economics'!G25+F5)/F7</f>
        <v>3.905321421560316</v>
      </c>
      <c r="G10" s="52">
        <f>('(4) Economics'!H25+G5)/G7</f>
        <v>1.5699215926669925</v>
      </c>
    </row>
    <row r="11" spans="1:7" ht="15">
      <c r="A11" s="50" t="s">
        <v>152</v>
      </c>
      <c r="B11" s="53">
        <f>AVERAGE(B10:G10)</f>
        <v>1.8037372234837072</v>
      </c>
      <c r="C11" s="20"/>
      <c r="D11" s="20"/>
      <c r="E11" s="20"/>
      <c r="F11" s="20"/>
      <c r="G11" s="20"/>
    </row>
    <row r="12" spans="1:7" ht="15">
      <c r="A12" s="35" t="s">
        <v>190</v>
      </c>
      <c r="B12" s="77">
        <f>IRR!AA22</f>
        <v>72.96205818275742</v>
      </c>
      <c r="C12" s="30"/>
      <c r="D12" s="30"/>
      <c r="E12" s="30"/>
      <c r="F12" s="30"/>
      <c r="G12" s="30"/>
    </row>
  </sheetData>
  <sheetProtection/>
  <mergeCells count="3">
    <mergeCell ref="A1:G1"/>
    <mergeCell ref="B2:G2"/>
    <mergeCell ref="A2:A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AG29"/>
  <sheetViews>
    <sheetView zoomScalePageLayoutView="0" workbookViewId="0" topLeftCell="Y1">
      <selection activeCell="AA22" sqref="AA22"/>
    </sheetView>
  </sheetViews>
  <sheetFormatPr defaultColWidth="9.140625" defaultRowHeight="15" customHeight="1"/>
  <cols>
    <col min="1" max="1" width="9.00390625" style="4" hidden="1" customWidth="1"/>
    <col min="2" max="2" width="27.28125" style="4" hidden="1" customWidth="1"/>
    <col min="3" max="8" width="15.7109375" style="4" hidden="1" customWidth="1"/>
    <col min="9" max="9" width="6.00390625" style="4" hidden="1" customWidth="1"/>
    <col min="10" max="10" width="51.28125" style="4" hidden="1" customWidth="1"/>
    <col min="11" max="16" width="9.7109375" style="5" hidden="1" customWidth="1"/>
    <col min="17" max="17" width="18.140625" style="6" hidden="1" customWidth="1"/>
    <col min="18" max="18" width="6.421875" style="4" customWidth="1"/>
    <col min="19" max="19" width="33.7109375" style="4" customWidth="1"/>
    <col min="20" max="25" width="15.7109375" style="4" customWidth="1"/>
    <col min="26" max="26" width="40.8515625" style="4" customWidth="1"/>
    <col min="27" max="33" width="12.7109375" style="4" customWidth="1"/>
    <col min="34" max="34" width="7.140625" style="4" customWidth="1"/>
    <col min="35" max="35" width="32.28125" style="4" customWidth="1"/>
    <col min="36" max="41" width="15.7109375" style="4" customWidth="1"/>
    <col min="42" max="16384" width="9.140625" style="4" customWidth="1"/>
  </cols>
  <sheetData>
    <row r="1" spans="26:33" ht="15" customHeight="1">
      <c r="Z1" s="80" t="s">
        <v>109</v>
      </c>
      <c r="AA1" s="80"/>
      <c r="AB1" s="80"/>
      <c r="AC1" s="80"/>
      <c r="AD1" s="80"/>
      <c r="AE1" s="80"/>
      <c r="AF1" s="80"/>
      <c r="AG1" s="37"/>
    </row>
    <row r="2" spans="26:33" ht="15" customHeight="1">
      <c r="Z2" s="27"/>
      <c r="AA2" s="27"/>
      <c r="AB2" s="27"/>
      <c r="AC2" s="27"/>
      <c r="AD2" s="27"/>
      <c r="AE2" s="27"/>
      <c r="AF2" s="27"/>
      <c r="AG2" s="27"/>
    </row>
    <row r="3" spans="26:33" ht="15" customHeight="1">
      <c r="Z3" s="25" t="s">
        <v>96</v>
      </c>
      <c r="AA3" s="84" t="s">
        <v>18</v>
      </c>
      <c r="AB3" s="84"/>
      <c r="AC3" s="84"/>
      <c r="AD3" s="84"/>
      <c r="AE3" s="84"/>
      <c r="AF3" s="84"/>
      <c r="AG3" s="25" t="s">
        <v>138</v>
      </c>
    </row>
    <row r="4" spans="26:33" ht="15" customHeight="1">
      <c r="Z4" s="25"/>
      <c r="AA4" s="25" t="s">
        <v>2</v>
      </c>
      <c r="AB4" s="25" t="s">
        <v>3</v>
      </c>
      <c r="AC4" s="25" t="s">
        <v>4</v>
      </c>
      <c r="AD4" s="25" t="s">
        <v>5</v>
      </c>
      <c r="AE4" s="25" t="s">
        <v>6</v>
      </c>
      <c r="AF4" s="25" t="s">
        <v>7</v>
      </c>
      <c r="AG4" s="25"/>
    </row>
    <row r="5" spans="26:33" ht="15" customHeight="1">
      <c r="Z5" s="59" t="s">
        <v>126</v>
      </c>
      <c r="AA5" s="38">
        <f>'(4) Economics'!C13</f>
        <v>25000</v>
      </c>
      <c r="AB5" s="38">
        <f>'(4) Economics'!D13</f>
        <v>523480</v>
      </c>
      <c r="AC5" s="38">
        <f>'(4) Economics'!E13</f>
        <v>1080960</v>
      </c>
      <c r="AD5" s="38">
        <f>'(4) Economics'!F13</f>
        <v>523480</v>
      </c>
      <c r="AE5" s="38">
        <f>'(4) Economics'!G13</f>
        <v>1080960</v>
      </c>
      <c r="AF5" s="38">
        <f>'(4) Economics'!H13</f>
        <v>523480</v>
      </c>
      <c r="AG5" s="38">
        <f>SUM(AA5:AF5)</f>
        <v>3757360</v>
      </c>
    </row>
    <row r="6" spans="26:33" ht="15" customHeight="1">
      <c r="Z6" s="60" t="s">
        <v>127</v>
      </c>
      <c r="AA6" s="12">
        <f>'(2) Unit Cost'!I30</f>
        <v>1253770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38">
        <f aca="true" t="shared" si="0" ref="AG6:AG18">SUM(AA6:AF6)</f>
        <v>1253770</v>
      </c>
    </row>
    <row r="7" spans="26:33" ht="15" customHeight="1">
      <c r="Z7" s="60" t="s">
        <v>153</v>
      </c>
      <c r="AA7" s="12">
        <f>'(4) Economics'!C24</f>
        <v>236370</v>
      </c>
      <c r="AB7" s="12">
        <f>'(4) Economics'!D24</f>
        <v>215370</v>
      </c>
      <c r="AC7" s="12">
        <f>'(4) Economics'!E24</f>
        <v>215370</v>
      </c>
      <c r="AD7" s="12">
        <f>'(4) Economics'!F24</f>
        <v>236370</v>
      </c>
      <c r="AE7" s="12">
        <f>'(4) Economics'!G24</f>
        <v>215370</v>
      </c>
      <c r="AF7" s="12">
        <f>'(4) Economics'!H24</f>
        <v>215370</v>
      </c>
      <c r="AG7" s="38">
        <f t="shared" si="0"/>
        <v>1334220</v>
      </c>
    </row>
    <row r="8" spans="26:33" ht="15" customHeight="1">
      <c r="Z8" s="61" t="s">
        <v>78</v>
      </c>
      <c r="AA8" s="15">
        <f aca="true" t="shared" si="1" ref="AA8:AF8">SUM(AA6:AA7)</f>
        <v>1490140</v>
      </c>
      <c r="AB8" s="15">
        <f t="shared" si="1"/>
        <v>215370</v>
      </c>
      <c r="AC8" s="15">
        <f t="shared" si="1"/>
        <v>215370</v>
      </c>
      <c r="AD8" s="15">
        <f t="shared" si="1"/>
        <v>236370</v>
      </c>
      <c r="AE8" s="15">
        <f t="shared" si="1"/>
        <v>215370</v>
      </c>
      <c r="AF8" s="15">
        <f t="shared" si="1"/>
        <v>215370</v>
      </c>
      <c r="AG8" s="38">
        <f t="shared" si="0"/>
        <v>2587990</v>
      </c>
    </row>
    <row r="9" spans="26:33" ht="15" customHeight="1">
      <c r="Z9" s="60" t="s">
        <v>128</v>
      </c>
      <c r="AA9" s="12">
        <f>'(4) Economics'!C13</f>
        <v>25000</v>
      </c>
      <c r="AB9" s="12">
        <f>'(4) Economics'!D13</f>
        <v>523480</v>
      </c>
      <c r="AC9" s="12">
        <f>'(4) Economics'!E13</f>
        <v>1080960</v>
      </c>
      <c r="AD9" s="12">
        <f>'(4) Economics'!F13</f>
        <v>523480</v>
      </c>
      <c r="AE9" s="12">
        <f>'(4) Economics'!G13</f>
        <v>1080960</v>
      </c>
      <c r="AF9" s="12">
        <f>'(4) Economics'!H13</f>
        <v>523480</v>
      </c>
      <c r="AG9" s="38">
        <f t="shared" si="0"/>
        <v>3757360</v>
      </c>
    </row>
    <row r="10" spans="26:33" ht="15" customHeight="1">
      <c r="Z10" s="61" t="s">
        <v>129</v>
      </c>
      <c r="AA10" s="15">
        <f aca="true" t="shared" si="2" ref="AA10:AF10">AA9</f>
        <v>25000</v>
      </c>
      <c r="AB10" s="15">
        <f t="shared" si="2"/>
        <v>523480</v>
      </c>
      <c r="AC10" s="15">
        <f t="shared" si="2"/>
        <v>1080960</v>
      </c>
      <c r="AD10" s="15">
        <f t="shared" si="2"/>
        <v>523480</v>
      </c>
      <c r="AE10" s="15">
        <f t="shared" si="2"/>
        <v>1080960</v>
      </c>
      <c r="AF10" s="15">
        <f t="shared" si="2"/>
        <v>523480</v>
      </c>
      <c r="AG10" s="38"/>
    </row>
    <row r="11" spans="26:33" ht="15" customHeight="1">
      <c r="Z11" s="59" t="s">
        <v>130</v>
      </c>
      <c r="AA11" s="47">
        <f>'(1) technical parameters'!F2</f>
        <v>0.8695652173913044</v>
      </c>
      <c r="AB11" s="47">
        <f>'(1) technical parameters'!G2</f>
        <v>0.7561436672967865</v>
      </c>
      <c r="AC11" s="47">
        <f>'(1) technical parameters'!H2</f>
        <v>0.6575162324319883</v>
      </c>
      <c r="AD11" s="47">
        <f>'(1) technical parameters'!I2</f>
        <v>0.5717532455930333</v>
      </c>
      <c r="AE11" s="47">
        <f>'(1) technical parameters'!J2</f>
        <v>0.4971767352982899</v>
      </c>
      <c r="AF11" s="47">
        <f>'(1) technical parameters'!K2</f>
        <v>0.43232759591155645</v>
      </c>
      <c r="AG11" s="38"/>
    </row>
    <row r="12" spans="26:33" ht="15" customHeight="1">
      <c r="Z12" s="62" t="s">
        <v>131</v>
      </c>
      <c r="AA12" s="39">
        <f aca="true" t="shared" si="3" ref="AA12:AF12">AA5*AA11</f>
        <v>21739.13043478261</v>
      </c>
      <c r="AB12" s="39">
        <f t="shared" si="3"/>
        <v>395826.0869565218</v>
      </c>
      <c r="AC12" s="39">
        <f t="shared" si="3"/>
        <v>710748.7466096821</v>
      </c>
      <c r="AD12" s="39">
        <f t="shared" si="3"/>
        <v>299301.3890030411</v>
      </c>
      <c r="AE12" s="39">
        <f t="shared" si="3"/>
        <v>537428.1637880395</v>
      </c>
      <c r="AF12" s="39">
        <f t="shared" si="3"/>
        <v>226314.84990778158</v>
      </c>
      <c r="AG12" s="38">
        <f t="shared" si="0"/>
        <v>2191358.366699849</v>
      </c>
    </row>
    <row r="13" spans="26:33" ht="15" customHeight="1">
      <c r="Z13" s="40" t="s">
        <v>132</v>
      </c>
      <c r="AA13" s="41">
        <f aca="true" t="shared" si="4" ref="AA13:AF13">AA8*AA11</f>
        <v>1295773.9130434785</v>
      </c>
      <c r="AB13" s="41">
        <f t="shared" si="4"/>
        <v>162850.66162570892</v>
      </c>
      <c r="AC13" s="41">
        <f t="shared" si="4"/>
        <v>141609.27097887732</v>
      </c>
      <c r="AD13" s="41">
        <f t="shared" si="4"/>
        <v>135145.31466082527</v>
      </c>
      <c r="AE13" s="41">
        <f t="shared" si="4"/>
        <v>107076.95348119269</v>
      </c>
      <c r="AF13" s="41">
        <f t="shared" si="4"/>
        <v>93110.3943314719</v>
      </c>
      <c r="AG13" s="38">
        <f t="shared" si="0"/>
        <v>1935566.5081215547</v>
      </c>
    </row>
    <row r="14" spans="26:33" ht="15" customHeight="1">
      <c r="Z14" s="63" t="s">
        <v>133</v>
      </c>
      <c r="AA14" s="42">
        <f aca="true" t="shared" si="5" ref="AA14:AF14">AA9*AA11</f>
        <v>21739.13043478261</v>
      </c>
      <c r="AB14" s="42">
        <f t="shared" si="5"/>
        <v>395826.0869565218</v>
      </c>
      <c r="AC14" s="42">
        <f t="shared" si="5"/>
        <v>710748.7466096821</v>
      </c>
      <c r="AD14" s="42">
        <f t="shared" si="5"/>
        <v>299301.3890030411</v>
      </c>
      <c r="AE14" s="42">
        <f t="shared" si="5"/>
        <v>537428.1637880395</v>
      </c>
      <c r="AF14" s="42">
        <f t="shared" si="5"/>
        <v>226314.84990778158</v>
      </c>
      <c r="AG14" s="38">
        <f t="shared" si="0"/>
        <v>2191358.366699849</v>
      </c>
    </row>
    <row r="15" spans="26:33" ht="15" customHeight="1">
      <c r="Z15" s="64" t="s">
        <v>134</v>
      </c>
      <c r="AA15" s="43">
        <f>'(1) technical parameters'!F10</f>
        <v>0.7407407407407407</v>
      </c>
      <c r="AB15" s="43">
        <f>'(1) technical parameters'!G10</f>
        <v>0.5486968449931412</v>
      </c>
      <c r="AC15" s="43">
        <f>'(1) technical parameters'!H10</f>
        <v>0.4064421074023268</v>
      </c>
      <c r="AD15" s="43">
        <f>'(1) technical parameters'!I10</f>
        <v>0.30106822770542724</v>
      </c>
      <c r="AE15" s="43">
        <f>'(1) technical parameters'!J10</f>
        <v>0.22301350200402018</v>
      </c>
      <c r="AF15" s="43">
        <f>'(1) technical parameters'!K10</f>
        <v>0.16519518666964456</v>
      </c>
      <c r="AG15" s="38"/>
    </row>
    <row r="16" spans="26:33" ht="15" customHeight="1">
      <c r="Z16" s="64" t="s">
        <v>135</v>
      </c>
      <c r="AA16" s="44">
        <f aca="true" t="shared" si="6" ref="AA16:AF16">AA14*AA15</f>
        <v>16103.059581320453</v>
      </c>
      <c r="AB16" s="44">
        <f t="shared" si="6"/>
        <v>217188.52507902426</v>
      </c>
      <c r="AC16" s="44">
        <f t="shared" si="6"/>
        <v>288878.21840560157</v>
      </c>
      <c r="AD16" s="44">
        <f t="shared" si="6"/>
        <v>90110.13873691823</v>
      </c>
      <c r="AE16" s="44">
        <f t="shared" si="6"/>
        <v>119853.73688196082</v>
      </c>
      <c r="AF16" s="44">
        <f t="shared" si="6"/>
        <v>37386.12387662857</v>
      </c>
      <c r="AG16" s="15">
        <f t="shared" si="0"/>
        <v>769519.8025614539</v>
      </c>
    </row>
    <row r="17" spans="26:33" ht="15" customHeight="1">
      <c r="Z17" s="64" t="s">
        <v>136</v>
      </c>
      <c r="AA17" s="45">
        <f>'(1) technical parameters'!F9</f>
        <v>0.7692307692307692</v>
      </c>
      <c r="AB17" s="45">
        <f>'(1) technical parameters'!G9</f>
        <v>0.5917159763313609</v>
      </c>
      <c r="AC17" s="45">
        <f>'(1) technical parameters'!H9</f>
        <v>0.45516613563950836</v>
      </c>
      <c r="AD17" s="45">
        <f>'(1) technical parameters'!I9</f>
        <v>0.35012779664577565</v>
      </c>
      <c r="AE17" s="45">
        <f>'(1) technical parameters'!J9</f>
        <v>0.2693290743429043</v>
      </c>
      <c r="AF17" s="45">
        <f>'(1) technical parameters'!K9</f>
        <v>0.20717621103300332</v>
      </c>
      <c r="AG17" s="38"/>
    </row>
    <row r="18" spans="26:33" ht="15" customHeight="1">
      <c r="Z18" s="64" t="s">
        <v>137</v>
      </c>
      <c r="AA18" s="39">
        <f aca="true" t="shared" si="7" ref="AA18:AF18">AA14*AA17</f>
        <v>16722.408026755853</v>
      </c>
      <c r="AB18" s="39">
        <f t="shared" si="7"/>
        <v>234216.61950090044</v>
      </c>
      <c r="AC18" s="39">
        <f t="shared" si="7"/>
        <v>323508.76040495315</v>
      </c>
      <c r="AD18" s="39">
        <f t="shared" si="7"/>
        <v>104793.73586465495</v>
      </c>
      <c r="AE18" s="39">
        <f t="shared" si="7"/>
        <v>144745.02987883944</v>
      </c>
      <c r="AF18" s="39">
        <f t="shared" si="7"/>
        <v>46887.053104397026</v>
      </c>
      <c r="AG18" s="15">
        <f t="shared" si="0"/>
        <v>870873.606780501</v>
      </c>
    </row>
    <row r="19" spans="26:33" ht="15" customHeight="1">
      <c r="Z19" s="64" t="s">
        <v>139</v>
      </c>
      <c r="AA19" s="46">
        <f>'(1) technical parameters'!C48</f>
        <v>0.12</v>
      </c>
      <c r="AB19" s="39"/>
      <c r="AC19" s="39"/>
      <c r="AD19" s="39"/>
      <c r="AE19" s="39"/>
      <c r="AF19" s="39"/>
      <c r="AG19" s="39"/>
    </row>
    <row r="20" spans="26:33" ht="15" customHeight="1">
      <c r="Z20" s="64" t="s">
        <v>140</v>
      </c>
      <c r="AA20" s="39">
        <v>35</v>
      </c>
      <c r="AB20" s="41"/>
      <c r="AC20" s="41"/>
      <c r="AD20" s="41"/>
      <c r="AE20" s="41"/>
      <c r="AF20" s="41"/>
      <c r="AG20" s="41"/>
    </row>
    <row r="21" spans="26:33" ht="15" customHeight="1">
      <c r="Z21" s="64" t="s">
        <v>141</v>
      </c>
      <c r="AA21" s="39">
        <v>30</v>
      </c>
      <c r="AB21" s="39"/>
      <c r="AC21" s="39"/>
      <c r="AD21" s="39"/>
      <c r="AE21" s="39"/>
      <c r="AF21" s="39"/>
      <c r="AG21" s="39"/>
    </row>
    <row r="22" spans="26:33" ht="15" customHeight="1">
      <c r="Z22" s="57" t="s">
        <v>142</v>
      </c>
      <c r="AA22" s="48">
        <f>AA21+(AG18/(AG18-AG16))*(AA20-AA21)</f>
        <v>72.96205818275742</v>
      </c>
      <c r="AB22" s="39"/>
      <c r="AC22" s="39"/>
      <c r="AD22" s="39"/>
      <c r="AE22" s="39"/>
      <c r="AF22" s="39"/>
      <c r="AG22" s="39"/>
    </row>
    <row r="23" spans="26:33" ht="15" customHeight="1">
      <c r="Z23" s="54"/>
      <c r="AA23" s="55"/>
      <c r="AB23" s="56"/>
      <c r="AC23" s="56"/>
      <c r="AD23" s="56"/>
      <c r="AE23" s="56"/>
      <c r="AF23" s="56"/>
      <c r="AG23" s="56"/>
    </row>
    <row r="24" spans="26:33" ht="15" customHeight="1">
      <c r="Z24" s="54"/>
      <c r="AA24" s="55"/>
      <c r="AB24" s="56"/>
      <c r="AC24" s="56"/>
      <c r="AD24" s="56"/>
      <c r="AE24" s="56"/>
      <c r="AF24" s="56"/>
      <c r="AG24" s="56"/>
    </row>
    <row r="25" spans="26:33" ht="15" customHeight="1">
      <c r="Z25" s="54"/>
      <c r="AA25" s="56"/>
      <c r="AB25" s="56"/>
      <c r="AC25" s="56"/>
      <c r="AD25" s="56"/>
      <c r="AE25" s="56"/>
      <c r="AF25" s="56"/>
      <c r="AG25" s="56"/>
    </row>
    <row r="26" spans="26:33" ht="15" customHeight="1">
      <c r="Z26" s="28"/>
      <c r="AA26" s="28"/>
      <c r="AB26" s="56"/>
      <c r="AC26" s="56"/>
      <c r="AD26" s="56"/>
      <c r="AE26" s="56"/>
      <c r="AF26" s="56"/>
      <c r="AG26" s="56"/>
    </row>
    <row r="27" spans="26:33" ht="15" customHeight="1">
      <c r="Z27" s="28"/>
      <c r="AA27" s="28"/>
      <c r="AB27" s="56"/>
      <c r="AC27" s="56"/>
      <c r="AD27" s="56"/>
      <c r="AE27" s="56"/>
      <c r="AF27" s="56"/>
      <c r="AG27" s="56"/>
    </row>
    <row r="28" spans="26:33" ht="15" customHeight="1">
      <c r="Z28" s="28"/>
      <c r="AA28" s="28"/>
      <c r="AB28" s="56"/>
      <c r="AC28" s="56"/>
      <c r="AD28" s="56"/>
      <c r="AE28" s="56"/>
      <c r="AF28" s="56"/>
      <c r="AG28" s="56"/>
    </row>
    <row r="29" spans="28:33" ht="15" customHeight="1">
      <c r="AB29" s="28"/>
      <c r="AC29" s="28"/>
      <c r="AD29" s="28"/>
      <c r="AE29" s="28"/>
      <c r="AF29" s="28"/>
      <c r="AG29" s="28"/>
    </row>
  </sheetData>
  <sheetProtection/>
  <mergeCells count="2">
    <mergeCell ref="AA3:AF3"/>
    <mergeCell ref="Z1:AF1"/>
  </mergeCells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Rajesh</cp:lastModifiedBy>
  <cp:lastPrinted>2017-07-26T05:08:26Z</cp:lastPrinted>
  <dcterms:created xsi:type="dcterms:W3CDTF">2014-03-11T15:36:33Z</dcterms:created>
  <dcterms:modified xsi:type="dcterms:W3CDTF">2019-08-02T18:02:59Z</dcterms:modified>
  <cp:category/>
  <cp:version/>
  <cp:contentType/>
  <cp:contentStatus/>
</cp:coreProperties>
</file>